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 tabRatio="818" activeTab="9"/>
  </bookViews>
  <sheets>
    <sheet name="Índice" sheetId="24" r:id="rId1"/>
    <sheet name="Identificação do serviço" sheetId="25" r:id="rId2"/>
    <sheet name="Dimensionamento" sheetId="17" r:id="rId3"/>
    <sheet name="Encargos Sociais" sheetId="23" r:id="rId4"/>
    <sheet name="Mão de obra" sheetId="18" r:id="rId5"/>
    <sheet name="Despesas Indiretas" sheetId="16" r:id="rId6"/>
    <sheet name="EPI" sheetId="21" r:id="rId7"/>
    <sheet name="Materiais" sheetId="26" r:id="rId8"/>
    <sheet name="Equipamentos" sheetId="28" r:id="rId9"/>
    <sheet name="PV" sheetId="15" r:id="rId10"/>
  </sheets>
  <externalReferences>
    <externalReference r:id="rId11"/>
  </externalReferences>
  <definedNames>
    <definedName name="_xlnm.Print_Area" localSheetId="9">PV!$B$4:$I$52</definedName>
    <definedName name="B" localSheetId="5">#REF!</definedName>
    <definedName name="B" localSheetId="2">#REF!</definedName>
    <definedName name="B" localSheetId="0">#REF!</definedName>
    <definedName name="B" localSheetId="4">#REF!</definedName>
    <definedName name="B" localSheetId="9">#REF!</definedName>
    <definedName name="B">#REF!</definedName>
    <definedName name="BANCO" localSheetId="5">#REF!</definedName>
    <definedName name="BANCO" localSheetId="2">#REF!</definedName>
    <definedName name="BANCO" localSheetId="4">#REF!</definedName>
    <definedName name="BANCO" localSheetId="9">#REF!</definedName>
    <definedName name="BANCO">#REF!</definedName>
    <definedName name="Banco_dados_IM" localSheetId="5">#REF!</definedName>
    <definedName name="Banco_dados_IM" localSheetId="2">#REF!</definedName>
    <definedName name="Banco_dados_IM" localSheetId="4">#REF!</definedName>
    <definedName name="Banco_dados_IM" localSheetId="9">#REF!</definedName>
    <definedName name="Banco_dados_IM">#REF!</definedName>
    <definedName name="C_" localSheetId="5">#REF!</definedName>
    <definedName name="C_" localSheetId="2">#REF!</definedName>
    <definedName name="C_" localSheetId="4">#REF!</definedName>
    <definedName name="C_" localSheetId="9">#REF!</definedName>
    <definedName name="C_">#REF!</definedName>
    <definedName name="Critérios_IM" localSheetId="5">#REF!</definedName>
    <definedName name="Critérios_IM" localSheetId="2">#REF!</definedName>
    <definedName name="Critérios_IM" localSheetId="4">#REF!</definedName>
    <definedName name="Critérios_IM" localSheetId="9">#REF!</definedName>
    <definedName name="Critérios_IM">#REF!</definedName>
    <definedName name="D" localSheetId="5">#REF!</definedName>
    <definedName name="D" localSheetId="2">#REF!</definedName>
    <definedName name="D" localSheetId="4">#REF!</definedName>
    <definedName name="D" localSheetId="9">#REF!</definedName>
    <definedName name="D">#REF!</definedName>
    <definedName name="DADOS" localSheetId="5">#REF!</definedName>
    <definedName name="DADOS" localSheetId="2">#REF!</definedName>
    <definedName name="DADOS" localSheetId="4">#REF!</definedName>
    <definedName name="DADOS" localSheetId="9">#REF!</definedName>
    <definedName name="DADOS">#REF!</definedName>
    <definedName name="E" localSheetId="5">#REF!</definedName>
    <definedName name="E" localSheetId="2">#REF!</definedName>
    <definedName name="E" localSheetId="4">#REF!</definedName>
    <definedName name="E" localSheetId="9">#REF!</definedName>
    <definedName name="E">#REF!</definedName>
    <definedName name="F" localSheetId="5">#REF!</definedName>
    <definedName name="F" localSheetId="2">#REF!</definedName>
    <definedName name="F" localSheetId="4">#REF!</definedName>
    <definedName name="F" localSheetId="9">#REF!</definedName>
    <definedName name="F">#REF!</definedName>
    <definedName name="G" localSheetId="5">#REF!</definedName>
    <definedName name="G" localSheetId="2">#REF!</definedName>
    <definedName name="G" localSheetId="4">#REF!</definedName>
    <definedName name="G" localSheetId="9">#REF!</definedName>
    <definedName name="G">#REF!</definedName>
    <definedName name="ORCAMENTO" localSheetId="5">#REF!</definedName>
    <definedName name="ORCAMENTO" localSheetId="2">#REF!</definedName>
    <definedName name="ORCAMENTO" localSheetId="4">#REF!</definedName>
    <definedName name="ORCAMENTO" localSheetId="9">#REF!</definedName>
    <definedName name="ORCAMENTO">#REF!</definedName>
    <definedName name="Planilha" localSheetId="5">#REF!</definedName>
    <definedName name="Planilha" localSheetId="2">#REF!</definedName>
    <definedName name="Planilha" localSheetId="4">#REF!</definedName>
    <definedName name="Planilha" localSheetId="9">#REF!</definedName>
    <definedName name="Planilha">#REF!</definedName>
    <definedName name="RESULTADOS" localSheetId="5">#REF!</definedName>
    <definedName name="RESULTADOS" localSheetId="2">#REF!</definedName>
    <definedName name="RESULTADOS" localSheetId="4">#REF!</definedName>
    <definedName name="RESULTADOS" localSheetId="9">#REF!</definedName>
    <definedName name="RESULTADOS">#REF!</definedName>
    <definedName name="RESUMO" localSheetId="5">#REF!</definedName>
    <definedName name="RESUMO" localSheetId="2">#REF!</definedName>
    <definedName name="RESUMO" localSheetId="4">#REF!</definedName>
    <definedName name="RESUMO" localSheetId="9">#REF!</definedName>
    <definedName name="RESUMO">#REF!</definedName>
    <definedName name="VARRICAO" localSheetId="5">#REF!</definedName>
    <definedName name="VARRICAO" localSheetId="2">#REF!</definedName>
    <definedName name="VARRICAO" localSheetId="4">#REF!</definedName>
    <definedName name="VARRICAO" localSheetId="9">#REF!</definedName>
    <definedName name="VARRICAO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5" l="1"/>
  <c r="F9" i="26"/>
  <c r="E26" i="18" l="1"/>
  <c r="E27" i="18"/>
  <c r="D43" i="15" l="1"/>
  <c r="F14" i="28"/>
  <c r="F16" i="28"/>
  <c r="D22" i="18"/>
  <c r="F7" i="26" l="1"/>
  <c r="F8" i="26"/>
  <c r="F10" i="26" l="1"/>
  <c r="D7" i="26" l="1"/>
  <c r="F18" i="28" l="1"/>
  <c r="C20" i="15" l="1"/>
  <c r="F21" i="15"/>
  <c r="G9" i="26"/>
  <c r="D11" i="26"/>
  <c r="F13" i="28"/>
  <c r="F11" i="26" l="1"/>
  <c r="G11" i="26" s="1"/>
  <c r="G13" i="26"/>
  <c r="F19" i="15" s="1"/>
  <c r="F15" i="28" l="1"/>
  <c r="F12" i="28"/>
  <c r="F11" i="28"/>
  <c r="E12" i="21"/>
  <c r="E11" i="21"/>
  <c r="E10" i="21"/>
  <c r="E9" i="21"/>
  <c r="E8" i="21"/>
  <c r="C8" i="16"/>
  <c r="C12" i="16"/>
  <c r="C13" i="16"/>
  <c r="F28" i="15" s="1"/>
  <c r="C46" i="18"/>
  <c r="F36" i="18"/>
  <c r="F35" i="18"/>
  <c r="F34" i="18"/>
  <c r="F33" i="18"/>
  <c r="D30" i="18"/>
  <c r="F28" i="18"/>
  <c r="D24" i="18"/>
  <c r="D20" i="18"/>
  <c r="D21" i="18" s="1"/>
  <c r="B1" i="18"/>
  <c r="F22" i="17"/>
  <c r="F18" i="17"/>
  <c r="F11" i="17"/>
  <c r="B2" i="17"/>
  <c r="E13" i="21" l="1"/>
  <c r="E14" i="21" s="1"/>
  <c r="F20" i="15" s="1"/>
  <c r="F27" i="18"/>
  <c r="F26" i="18"/>
  <c r="F29" i="18" l="1"/>
  <c r="F30" i="18" s="1"/>
  <c r="F31" i="18" s="1"/>
  <c r="F37" i="18" s="1"/>
  <c r="F38" i="18" s="1"/>
  <c r="D46" i="18" l="1"/>
  <c r="F10" i="15"/>
  <c r="D44" i="18"/>
  <c r="E44" i="18" s="1"/>
  <c r="E46" i="18" l="1"/>
  <c r="C19" i="15"/>
  <c r="B2" i="26" l="1"/>
  <c r="G10" i="26"/>
  <c r="G7" i="26"/>
  <c r="G8" i="26" l="1"/>
  <c r="G12" i="26" s="1"/>
  <c r="C21" i="15" l="1"/>
  <c r="B2" i="15" l="1"/>
  <c r="B2" i="16"/>
  <c r="B2" i="21"/>
  <c r="B1" i="23"/>
  <c r="D23" i="23"/>
  <c r="D28" i="23" s="1"/>
  <c r="D16" i="23"/>
  <c r="D40" i="23" l="1"/>
  <c r="D42" i="23" s="1"/>
  <c r="F23" i="17" l="1"/>
  <c r="D44" i="15" l="1"/>
  <c r="D45" i="15" s="1"/>
  <c r="F15" i="15" l="1"/>
  <c r="F26" i="15" l="1"/>
  <c r="F32" i="15" s="1"/>
  <c r="F34" i="15" s="1"/>
  <c r="H38" i="15" l="1"/>
  <c r="G10" i="15"/>
  <c r="G19" i="15"/>
  <c r="G15" i="15"/>
  <c r="G28" i="15"/>
  <c r="G11" i="15"/>
  <c r="G26" i="15"/>
  <c r="G30" i="15"/>
  <c r="G32" i="15" l="1"/>
  <c r="G34" i="15" s="1"/>
</calcChain>
</file>

<file path=xl/comments1.xml><?xml version="1.0" encoding="utf-8"?>
<comments xmlns="http://schemas.openxmlformats.org/spreadsheetml/2006/main">
  <authors>
    <author>CLESIO FIDENCIO</author>
  </authors>
  <commentList>
    <comment ref="L25" authorId="0">
      <text>
        <r>
          <rPr>
            <b/>
            <sz val="9"/>
            <color indexed="81"/>
            <rFont val="Tahoma"/>
            <family val="2"/>
          </rPr>
          <t>CLESIO FIDENCIO: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Cliente</author>
    <author>12096</author>
    <author>12095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Cliente:</t>
        </r>
        <r>
          <rPr>
            <sz val="9"/>
            <color indexed="81"/>
            <rFont val="Tahoma"/>
            <family val="2"/>
          </rPr>
          <t xml:space="preserve">
salário:média dos salários encontrados nos editais de concursos publico realizados nos ultimos 6 meses  obs: transformado para 220 horas mensais   </t>
        </r>
      </text>
    </comment>
    <comment ref="F22" authorId="1">
      <text>
        <r>
          <rPr>
            <b/>
            <sz val="8"/>
            <color indexed="81"/>
            <rFont val="Segoe UI"/>
            <family val="2"/>
          </rPr>
          <t>12096:</t>
        </r>
        <r>
          <rPr>
            <sz val="8"/>
            <color indexed="81"/>
            <rFont val="Segoe UI"/>
            <family val="2"/>
          </rPr>
          <t xml:space="preserve">
salario minimo </t>
        </r>
      </text>
    </comment>
    <comment ref="D26" authorId="2">
      <text>
        <r>
          <rPr>
            <b/>
            <sz val="9"/>
            <color indexed="81"/>
            <rFont val="Segoe UI"/>
            <charset val="1"/>
          </rPr>
          <t>12095:</t>
        </r>
        <r>
          <rPr>
            <sz val="9"/>
            <color indexed="81"/>
            <rFont val="Segoe UI"/>
            <charset val="1"/>
          </rPr>
          <t xml:space="preserve">
horas trabalhadas no domingo </t>
        </r>
      </text>
    </comment>
    <comment ref="D27" authorId="2">
      <text>
        <r>
          <rPr>
            <b/>
            <sz val="9"/>
            <color indexed="81"/>
            <rFont val="Segoe UI"/>
            <charset val="1"/>
          </rPr>
          <t>12095:</t>
        </r>
        <r>
          <rPr>
            <sz val="9"/>
            <color indexed="81"/>
            <rFont val="Segoe UI"/>
            <charset val="1"/>
          </rPr>
          <t xml:space="preserve">
horas trabalhada no sabado a tarde</t>
        </r>
      </text>
    </comment>
  </commentList>
</comments>
</file>

<file path=xl/sharedStrings.xml><?xml version="1.0" encoding="utf-8"?>
<sst xmlns="http://schemas.openxmlformats.org/spreadsheetml/2006/main" count="234" uniqueCount="224">
  <si>
    <t>Total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</si>
  <si>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</si>
  <si>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</si>
  <si>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</si>
  <si>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</si>
  <si>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</si>
  <si>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</si>
  <si>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</si>
  <si>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</si>
  <si>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</si>
  <si>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</si>
  <si>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</si>
  <si>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Horas Extras (100%) =</t>
  </si>
  <si>
    <t>Boné</t>
  </si>
  <si>
    <t>DESCRIÇÃO</t>
  </si>
  <si>
    <t>Custo</t>
  </si>
  <si>
    <t>unitário</t>
  </si>
  <si>
    <t>Horas Extras (50%) =</t>
  </si>
  <si>
    <t>Encargos sociais (%) =</t>
  </si>
  <si>
    <t>(R$)</t>
  </si>
  <si>
    <t>Quantidade =</t>
  </si>
  <si>
    <t>Mão de Obra Direta</t>
  </si>
  <si>
    <t>Adicional de insalubridade (%) =</t>
  </si>
  <si>
    <t>RESUMO DA MÃO DE OBRA</t>
  </si>
  <si>
    <t>UNIFORMES E EQUIPAMENTOS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</si>
  <si>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</si>
  <si>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</si>
  <si>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</si>
  <si>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</si>
  <si>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</si>
  <si>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</si>
  <si>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</si>
  <si>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</si>
  <si>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</si>
  <si>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 xml:space="preserve">   (+) PIS</t>
  </si>
  <si>
    <t xml:space="preserve">   (+) COFINS</t>
  </si>
  <si>
    <t xml:space="preserve">   (+) ISS</t>
  </si>
  <si>
    <t>Soma dos Percentuais</t>
  </si>
  <si>
    <t>Valor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</si>
  <si>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</si>
  <si>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</si>
  <si>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</si>
  <si>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</si>
  <si>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</si>
  <si>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</si>
  <si>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DISCRIMINAÇÃO</t>
  </si>
  <si>
    <t>% Salário</t>
  </si>
  <si>
    <t>Mensal</t>
  </si>
  <si>
    <t>GRUPO A</t>
  </si>
  <si>
    <t>Básico</t>
  </si>
  <si>
    <t>TOTAL GRUPO A</t>
  </si>
  <si>
    <t>GRUPO B</t>
  </si>
  <si>
    <t>TOTAL GRUPO B</t>
  </si>
  <si>
    <t>GRUPO C</t>
  </si>
  <si>
    <t>TOTAL GRUPO C</t>
  </si>
  <si>
    <t>TOTAL GERAL</t>
  </si>
  <si>
    <t>Custo mensal/funcionário (R$) =</t>
  </si>
  <si>
    <t>Consumo</t>
  </si>
  <si>
    <t>Anual</t>
  </si>
  <si>
    <t>Custo mensal por funcionário (R$) =</t>
  </si>
  <si>
    <t>Custo mensal do efetivo (R$) =</t>
  </si>
  <si>
    <t>QUANTIDADE DE DIAS ÚTEIS POR ANO</t>
  </si>
  <si>
    <t>Quantidade de dias no ano =</t>
  </si>
  <si>
    <t>Quantidade de dias úteis no mês =</t>
  </si>
  <si>
    <t xml:space="preserve">   1 / (30)</t>
  </si>
  <si>
    <t>ÍNDICE</t>
  </si>
  <si>
    <t>1º turno diurno</t>
  </si>
  <si>
    <t xml:space="preserve">TOTAL GERAL </t>
  </si>
  <si>
    <t xml:space="preserve">   1 - (28)</t>
  </si>
  <si>
    <t>TOTAL ( 1 a 5 )</t>
  </si>
  <si>
    <t>Consultorias (CONTABILIDADE)</t>
  </si>
  <si>
    <t>SESC OU SESI</t>
  </si>
  <si>
    <t>SENAI OU SENAC</t>
  </si>
  <si>
    <t>SEBRAE</t>
  </si>
  <si>
    <t>INCRA</t>
  </si>
  <si>
    <t>INSS</t>
  </si>
  <si>
    <t>FGTS</t>
  </si>
  <si>
    <t>Salário Educação</t>
  </si>
  <si>
    <t>Seguro acidente do trabalho</t>
  </si>
  <si>
    <t>Incidencia do FGTS sobre o aviso previo indenizado</t>
  </si>
  <si>
    <t xml:space="preserve">Multa do FGTS e contribuição social sobre o aviso previo indenizado </t>
  </si>
  <si>
    <t>Aviso previo trabalhado</t>
  </si>
  <si>
    <t>Incidencia dos encargos sobre o aviso previo trabalhado</t>
  </si>
  <si>
    <t>Multa do FGTS e contribuição social sobre o aviso previo trabalhado</t>
  </si>
  <si>
    <r>
      <t>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</si>
  <si>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t>Ausencias  Legais</t>
  </si>
  <si>
    <t>Licença paternidade</t>
  </si>
  <si>
    <t>Ausencia por acidente de trabalho</t>
  </si>
  <si>
    <t>Afastamento maternidade</t>
  </si>
  <si>
    <t>Nota 1: Como a planilha de custos e formação de preços é calculada mensalmente, provisiona-se proporcionalmente 1/12 (um doze avos) dos valores referentes a gratificação natalina e adicional de férias.</t>
  </si>
  <si>
    <t>Nota 1: Os percentuais dos encargos previdenciários, do FGTS e demais contribuições são aqueles estabelecidos pela legislação vigente.</t>
  </si>
  <si>
    <t>Nota 2: O adicional de férias contido corresponde a 1/3 (um terço) da remuneração que por sua vez é divido por 12 (doze) conforme Nota 1 acima</t>
  </si>
  <si>
    <t>Nota: As alíneas do grupo "C" referem-se somente ao custo que será pago ao repositor pelos dias trabalhados quando da necessidade de substituir a mão de obra alocada na prestação do serviço.</t>
  </si>
  <si>
    <t>ANEXO: PLANILHA DE CUSTOS E FORMAÇÃO DE PREÇOS PARA SERVIÇOS CONTINUADOS DE:</t>
  </si>
  <si>
    <r>
      <t>1)</t>
    </r>
    <r>
      <rPr>
        <sz val="11"/>
        <color indexed="8"/>
        <rFont val="Ecofont_Spranq_eco_Sans"/>
        <family val="2"/>
      </rPr>
      <t>  O Imposto de Renda de Pessoa Jurídica - IRPJ - e a Contribuição Social sobre o Lucro Líquido - CSLL, que não podem ser repassados à Administração, não serão incluídos na proposta de preços apresentada.</t>
    </r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</si>
  <si>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Processo</t>
    </r>
  </si>
  <si>
    <r>
      <t>Licitação 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</t>
    </r>
  </si>
  <si>
    <t>       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</si>
  <si>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</si>
  <si>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</si>
  <si>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</si>
  <si>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</si>
  <si>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</si>
  <si>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</si>
  <si>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</si>
  <si>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de meses de execução contratual</t>
    </r>
  </si>
  <si>
    <t>E</t>
  </si>
  <si>
    <t>Local da prestação de serviços</t>
  </si>
  <si>
    <t>Tipo de Serviço</t>
  </si>
  <si>
    <t>Unidade Medida</t>
  </si>
  <si>
    <t>Quantidade Total a Contratar em função da Unidade medida</t>
  </si>
  <si>
    <t>Mão de Obra Vinculada à Execução Contratual</t>
  </si>
  <si>
    <t xml:space="preserve">Tipo de serviço 
</t>
  </si>
  <si>
    <t>Classificação Brasileira de Ocupações (CBO)</t>
  </si>
  <si>
    <t xml:space="preserve">Salário normativo da Categoria Profissional </t>
  </si>
  <si>
    <t>Categoria profissional</t>
  </si>
  <si>
    <t>Data base da categoria (dia/mês/ano)</t>
  </si>
  <si>
    <t>Nota 1: Deverá ser elaborado um quadro para cada tipo de serviço</t>
  </si>
  <si>
    <t>Nota 2: A planilha será calculada considerando o valor mensal do empregado.</t>
  </si>
  <si>
    <t>Nota: Valores mensais por empregado.</t>
  </si>
  <si>
    <t xml:space="preserve">   (+) IRRJ</t>
  </si>
  <si>
    <t xml:space="preserve">   (+) CSLL</t>
  </si>
  <si>
    <t>1 - IDENTIFICAÇÃO</t>
  </si>
  <si>
    <t>Nota 1: O Módulo  refere-se ao valor mensal devido ao empregado pela prestação do serviço no período de 12 meses.</t>
  </si>
  <si>
    <t>Nota 1: Será conciderada a data da apresentação da proposta alinea "A" que deverá coincidir com a data limite da apresentação da proposta da licitação (data da abertura da licitação), para fins de concessão de reajuste.</t>
  </si>
  <si>
    <t>Dois Vizinhos</t>
  </si>
  <si>
    <t>Nota 2: O SAT a depender do grau de risco do serviço irá variar entre 1%, para risco leve, de 2%, para risco médio, e de 3% de risco grave.</t>
  </si>
  <si>
    <t>Lucro</t>
  </si>
  <si>
    <t>Nota 1: O valor dos tributos é obtido aplicando percentual sobre o faturamento.</t>
  </si>
  <si>
    <t>2 - Dimensionamento</t>
  </si>
  <si>
    <t>2.1-</t>
  </si>
  <si>
    <t>2.2-</t>
  </si>
  <si>
    <t>TURNO DE TRABALHO</t>
  </si>
  <si>
    <t>OBSERVAÇÕES</t>
  </si>
  <si>
    <r>
      <t xml:space="preserve">A </t>
    </r>
    <r>
      <rPr>
        <b/>
        <sz val="11"/>
        <rFont val="Arial"/>
        <family val="2"/>
      </rPr>
      <t>Quantidade de dias úteis no ano</t>
    </r>
    <r>
      <rPr>
        <sz val="11"/>
        <rFont val="Arial"/>
        <family val="2"/>
      </rPr>
      <t xml:space="preserve"> é calculada diminuindo a </t>
    </r>
    <r>
      <rPr>
        <b/>
        <sz val="11"/>
        <rFont val="Arial"/>
        <family val="2"/>
      </rPr>
      <t>Quantidade de domingos no ano</t>
    </r>
    <r>
      <rPr>
        <sz val="11"/>
        <rFont val="Arial"/>
        <family val="2"/>
      </rPr>
      <t xml:space="preserve"> da </t>
    </r>
    <r>
      <rPr>
        <b/>
        <sz val="11"/>
        <rFont val="Arial"/>
        <family val="2"/>
      </rPr>
      <t>Quantidade de dias no ano</t>
    </r>
    <r>
      <rPr>
        <sz val="11"/>
        <rFont val="Arial"/>
        <family val="2"/>
      </rPr>
      <t>.</t>
    </r>
  </si>
  <si>
    <r>
      <t xml:space="preserve">A </t>
    </r>
    <r>
      <rPr>
        <b/>
        <sz val="11"/>
        <rFont val="Arial"/>
        <family val="2"/>
      </rPr>
      <t>Quantidade de dias úteis no mês</t>
    </r>
    <r>
      <rPr>
        <sz val="11"/>
        <rFont val="Arial"/>
        <family val="2"/>
      </rPr>
      <t xml:space="preserve"> é calculada dividindo a </t>
    </r>
    <r>
      <rPr>
        <b/>
        <sz val="11"/>
        <rFont val="Arial"/>
        <family val="2"/>
      </rPr>
      <t>Quantidade de dias úteis no ano</t>
    </r>
    <r>
      <rPr>
        <sz val="11"/>
        <rFont val="Arial"/>
        <family val="2"/>
      </rPr>
      <t xml:space="preserve"> pelos 12 meses do ano.</t>
    </r>
  </si>
  <si>
    <r>
      <t xml:space="preserve">O </t>
    </r>
    <r>
      <rPr>
        <b/>
        <sz val="10"/>
        <rFont val="Arial"/>
        <family val="2"/>
      </rPr>
      <t>Total sem encargos</t>
    </r>
    <r>
      <rPr>
        <sz val="10"/>
        <rFont val="Arial"/>
        <family val="2"/>
      </rPr>
      <t xml:space="preserve"> é obtido somando 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 xml:space="preserve"> com o valor referente ao adicional de insalubridade, obtido multiplicando o </t>
    </r>
    <r>
      <rPr>
        <b/>
        <sz val="10"/>
        <rFont val="Arial"/>
        <family val="2"/>
      </rPr>
      <t>Adicional de insalubridade (%)</t>
    </r>
    <r>
      <rPr>
        <sz val="10"/>
        <rFont val="Arial"/>
        <family val="2"/>
      </rPr>
      <t xml:space="preserve"> pelo </t>
    </r>
    <r>
      <rPr>
        <b/>
        <sz val="10"/>
        <rFont val="Arial"/>
        <family val="2"/>
      </rPr>
      <t>Salário Ins. (R$)</t>
    </r>
    <r>
      <rPr>
        <sz val="10"/>
        <rFont val="Arial"/>
        <family val="2"/>
      </rPr>
      <t>.</t>
    </r>
  </si>
  <si>
    <r>
      <t xml:space="preserve">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 xml:space="preserve"> é a soma do </t>
    </r>
    <r>
      <rPr>
        <b/>
        <sz val="10"/>
        <rFont val="Arial"/>
        <family val="2"/>
      </rPr>
      <t>Total sem encargos</t>
    </r>
    <r>
      <rPr>
        <sz val="10"/>
        <rFont val="Arial"/>
        <family val="2"/>
      </rPr>
      <t xml:space="preserve"> com o valor dos encargos, obtido multiplicando 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pelo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>.</t>
    </r>
  </si>
  <si>
    <r>
      <t xml:space="preserve">O </t>
    </r>
    <r>
      <rPr>
        <b/>
        <sz val="10"/>
        <rFont val="Arial"/>
        <family val="2"/>
      </rPr>
      <t>Total do efetivo</t>
    </r>
    <r>
      <rPr>
        <sz val="10"/>
        <rFont val="Arial"/>
        <family val="2"/>
      </rPr>
      <t xml:space="preserve"> é obtido multiplicando a </t>
    </r>
    <r>
      <rPr>
        <b/>
        <sz val="10"/>
        <rFont val="Arial"/>
        <family val="2"/>
      </rPr>
      <t>Quantidade</t>
    </r>
    <r>
      <rPr>
        <sz val="10"/>
        <rFont val="Arial"/>
        <family val="2"/>
      </rPr>
      <t xml:space="preserve"> de funcionários pelo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>.</t>
    </r>
  </si>
  <si>
    <r>
      <t xml:space="preserve">O valor dos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é calculado por meio dos valores preenchidos pela empresa proponente na próxima planilha (</t>
    </r>
    <r>
      <rPr>
        <b/>
        <sz val="10"/>
        <rFont val="Arial"/>
        <family val="2"/>
      </rPr>
      <t>Encargos Sociais</t>
    </r>
    <r>
      <rPr>
        <sz val="10"/>
        <rFont val="Arial"/>
        <family val="2"/>
      </rPr>
      <t>").</t>
    </r>
  </si>
  <si>
    <t>Salário Ins. (R$) =</t>
  </si>
  <si>
    <t>Auxílio alimentação diário (R$) =</t>
  </si>
  <si>
    <t>Assistência médica familiar mensal (R$) =</t>
  </si>
  <si>
    <t>Vale transporte (passagem de ônibus) (R$) =</t>
  </si>
  <si>
    <t>Total Despesas Indiretas e Lucro</t>
  </si>
  <si>
    <t>Nota 3: Os itens que contemplam o grupo "C" se referem ao custo dos dias trabalhados pelo repositor/substituto que por ventura venha cobrir o empregado nos casos de Ausências Legais  e/ou na Intrajornada, a depender da prestação do serviço.</t>
  </si>
  <si>
    <t>Nota 4: Haverá a incidência do grupo "A" sobre esse módulo.</t>
  </si>
  <si>
    <t>Aviso prévio idenizado</t>
  </si>
  <si>
    <t>Honorários (Pró-labore)</t>
  </si>
  <si>
    <t xml:space="preserve">   32 - Preço mensal</t>
  </si>
  <si>
    <t>XX/2019</t>
  </si>
  <si>
    <t>Custo mensal do capital (R$) =</t>
  </si>
  <si>
    <t>Custo do capital (% a.m) =</t>
  </si>
  <si>
    <t>Vida útil (meses) =</t>
  </si>
  <si>
    <t>A quantidade estipulada  que está proposto na planilha é obrigatória, sendo que o preço fica  a critério da empresa.</t>
  </si>
  <si>
    <r>
      <rPr>
        <sz val="11"/>
        <color theme="1"/>
        <rFont val="Calibri"/>
        <family val="2"/>
        <scheme val="minor"/>
      </rPr>
      <t>Nota explicativa 1</t>
    </r>
    <r>
      <rPr>
        <sz val="11"/>
        <color theme="1"/>
        <rFont val="Arial"/>
        <family val="2"/>
      </rPr>
      <t xml:space="preserve">: Caso a proponente considere algum item como valor zero, deverá justificar. </t>
    </r>
  </si>
  <si>
    <r>
      <t xml:space="preserve">Nota 2: (*) O percentual efetivo máximo devido ao ISS será de </t>
    </r>
    <r>
      <rPr>
        <sz val="10"/>
        <color rgb="FFFF0000"/>
        <rFont val="Arial"/>
        <family val="2"/>
      </rPr>
      <t>5%</t>
    </r>
    <r>
      <rPr>
        <sz val="10"/>
        <rFont val="Arial"/>
        <family val="2"/>
      </rPr>
      <t>, transferindo-se a diferença, de forma proporcional, aos tributos federais da mesma faixa de receita bruta anual. (Os dados dos tributos acima deverão ser preenchidos de acordo com o enquadramento da empresa licitante).</t>
    </r>
  </si>
  <si>
    <t xml:space="preserve">3 - ENCARGOS SOCIAIS </t>
  </si>
  <si>
    <r>
      <rPr>
        <sz val="11"/>
        <color theme="1"/>
        <rFont val="Calibri"/>
        <family val="2"/>
        <scheme val="minor"/>
      </rPr>
      <t>Nota explicativa 2</t>
    </r>
    <r>
      <rPr>
        <sz val="11"/>
        <color theme="1"/>
        <rFont val="Arial"/>
        <family val="2"/>
      </rPr>
      <t>: Se houver despesas não listadas acima a proponente poderá incluir na tabela.</t>
    </r>
  </si>
  <si>
    <t>Caso o preço dos produtos tiverem um desconto superior a 30% referente ao valor estimado, a proponente deverá justificar e apresentar prova com documentos fiscais de compra dos produtos.</t>
  </si>
  <si>
    <t>7 - MATERIAIS</t>
  </si>
  <si>
    <t>Quilometragem média Mensal</t>
  </si>
  <si>
    <t xml:space="preserve">ITEM </t>
  </si>
  <si>
    <t>QTDE VEÍCULOS</t>
  </si>
  <si>
    <t>CUSTO MENSAL</t>
  </si>
  <si>
    <t xml:space="preserve"> CUSTO KM RODADO</t>
  </si>
  <si>
    <t>Limpeza Quimica/higienização</t>
  </si>
  <si>
    <t>Rodagem Pneus</t>
  </si>
  <si>
    <t>CUSTO POR QUILOMETRO RODADO</t>
  </si>
  <si>
    <t>09 - ANÁLISE DO PREÇO DE VENDA</t>
  </si>
  <si>
    <t>8 -EQUIPAMENTOS</t>
  </si>
  <si>
    <t>Nota explicativa: A proponente poderá incluir na planilha outros materiais/ferramentas que julgar necesário para a realização dos serviços.</t>
  </si>
  <si>
    <t>Nota 3: Caso a proponente esteja enquadrado em regime de impostos que gere deduções o mesmo deverá ser aplicado a planilha.</t>
  </si>
  <si>
    <t>Custo mensal do valor investido (R$) =</t>
  </si>
  <si>
    <t xml:space="preserve">INSEMINAÇÃO ARTIFICIAL </t>
  </si>
  <si>
    <t>Conforme projeto anexo</t>
  </si>
  <si>
    <t xml:space="preserve">PRODUÇÃO </t>
  </si>
  <si>
    <t>INSEMINAÇÃO ARTIFICIAL (IA)</t>
  </si>
  <si>
    <t>CADA SERVIÇO DE INSEMINAÇÃO ARTIFICIAL</t>
  </si>
  <si>
    <t>NÚMERO DE INSEMINAÇÃO ARTIFICIAL A SER REALIZADA POR DIA(MÉDIA)</t>
  </si>
  <si>
    <t>Quantidade  de dias trabalhados no ano =</t>
  </si>
  <si>
    <t>3.1.1 - Dados complementares para composição dos custos referentes à mão-de-obra</t>
  </si>
  <si>
    <t>Inseminação Artificial</t>
  </si>
  <si>
    <t>CBO - 6230-10</t>
  </si>
  <si>
    <t xml:space="preserve">VALOR MÍNIMO ENCONTRADO DE CORCURSOS NOS ULTIMOS 6 MESES </t>
  </si>
  <si>
    <t>Inseminador artificial de animais</t>
  </si>
  <si>
    <t>INSEMINADOR ARTIFICIAL DE ANIMAIS</t>
  </si>
  <si>
    <t>Reserva Técnica (domingos+absenteismo+férias) =</t>
  </si>
  <si>
    <t>Bônus auxílio alimentação por assiduidade (R$) =</t>
  </si>
  <si>
    <t>Beneficio social familiar mensal (R$)=</t>
  </si>
  <si>
    <r>
      <t xml:space="preserve">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 xml:space="preserve"> é obtido no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/>
    </r>
  </si>
  <si>
    <t>Nota explicativa 1: Caso não conste na planilha de formação de custo, benefícos/auxilos previstos na convenção coletiva referente as funções contratadas, e/ou forem incluídas em convenções coletivas futuras, os mesmso poderão ser adicionados posteriormente ao contrato por ditivo de repactuação.</t>
  </si>
  <si>
    <t>6 - DESPESAS INDIRETAS</t>
  </si>
  <si>
    <r>
      <t>Responsável Técnico - Médico Veterinário</t>
    </r>
    <r>
      <rPr>
        <sz val="9"/>
        <color theme="1"/>
        <rFont val="Arial"/>
        <family val="2"/>
      </rPr>
      <t xml:space="preserve"> (MANUAL DE ORIENTAÇÃO E PROCEDIMENTOS DO RESPONSÁVEL TÉCNICO)</t>
    </r>
  </si>
  <si>
    <t xml:space="preserve"> CRMV anuidade + taxa de registro + taxa de certificação do contrato</t>
  </si>
  <si>
    <t>Inseminador Artificial=</t>
  </si>
  <si>
    <t>Macacão</t>
  </si>
  <si>
    <t>Bota de borracha</t>
  </si>
  <si>
    <t xml:space="preserve">Capa de chuva </t>
  </si>
  <si>
    <t>2.3-</t>
  </si>
  <si>
    <t>VEÍCULO (AUTOMÓVEL 1.0)</t>
  </si>
  <si>
    <t>Quantidade de Inseminador =</t>
  </si>
  <si>
    <t>Quantidade de veículo=</t>
  </si>
  <si>
    <t>Custo unitário do veículo(R$) =</t>
  </si>
  <si>
    <t>Valor residual do veículo(%) =</t>
  </si>
  <si>
    <t>Fator de manutenção (% do valor do Veículo)=</t>
  </si>
  <si>
    <t>Custo total de manutenção mensal (R$) =</t>
  </si>
  <si>
    <t>Custo de depreciação mensal (R$)=</t>
  </si>
  <si>
    <t>Custo total mensal dos Veículos (R$) =</t>
  </si>
  <si>
    <t>Combustível (gasolina comum)</t>
  </si>
  <si>
    <t>Nota explicativa 1: Os Veículos propostos deverão ter no maximo 5 anos de uso (durante toda vigencia que o contrato vier a ter), sendo que o preços será aferido pelo fiscal do contrato de acordo com a tabela fipe(vedado valor superior ao preço da fipe).</t>
  </si>
  <si>
    <t>Nota explicativa 2:A proponente poderá incluir na tabela de custos equipamentos suplementares, desde que espeficados unitariamente e não de forma global, ainda a inclusão dos mesmos terá que ser aprovada pelo fiscal do contrato e somente poderá ser aceita desde que não majore o valor proposto pelo município.</t>
  </si>
  <si>
    <t>Valor amortizado do custo total do veiculo divido pelo periodo de 48 meses(R$) =</t>
  </si>
  <si>
    <t>4 - MÃO DE OBRA</t>
  </si>
  <si>
    <t>4.1 - MÃO DE OBRA DIRETA</t>
  </si>
  <si>
    <t>4.1.2-</t>
  </si>
  <si>
    <t>4.2 - MÃO DE OBRA DIRETA</t>
  </si>
  <si>
    <t>4.2.3-</t>
  </si>
  <si>
    <r>
      <t xml:space="preserve">5 - </t>
    </r>
    <r>
      <rPr>
        <b/>
        <sz val="14"/>
        <color theme="1"/>
        <rFont val="Arial"/>
        <family val="2"/>
      </rPr>
      <t>UNIFORMES E EQUIPAMENTOS DE PROTEÇÃO INDIVIDUAL</t>
    </r>
  </si>
  <si>
    <t>Janeiro de 2020</t>
  </si>
  <si>
    <t>Preço  por IA</t>
  </si>
  <si>
    <t xml:space="preserve">Troca de oleo e filtro </t>
  </si>
  <si>
    <t>Licenciamento +IPVA+ dpvat</t>
  </si>
  <si>
    <t>Protetor solar FPS 60 1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</si>
</sst>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0.0000"/>
    <numFmt numFmtId="173" formatCode="#,##0.000_ ;\-#,##0.000\ "/>
    <numFmt numFmtId="174" formatCode="_-* #,##0.0_-;\-* #,##0.0_-;_-* &quot;-&quot;??_-;_-@_-"/>
    <numFmt numFmtId="175" formatCode="_-* #,##0.000_-;\-* #,##0.000_-;_-* &quot;-&quot;??_-;_-@_-"/>
    <numFmt numFmtId="176" formatCode="0.000%"/>
    <numFmt numFmtId="177" formatCode="_-* #,##0.0000_-;\-* #,##0.0000_-;_-* &quot;-&quot;??_-;_-@_-"/>
  </numFmts>
  <fonts count="73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 MT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Ecofont_Spranq_eco_Sans"/>
      <family val="2"/>
    </font>
    <font>
      <i/>
      <sz val="11"/>
      <color theme="1"/>
      <name val="Ecofont_Spranq_eco_Sans"/>
      <family val="2"/>
    </font>
    <font>
      <b/>
      <sz val="11"/>
      <color theme="1"/>
      <name val="Ecofont_Spranq_eco_Sans"/>
      <family val="2"/>
    </font>
    <font>
      <sz val="11"/>
      <color theme="1"/>
      <name val="Ecofont_Spranq_eco_Sans"/>
      <family val="2"/>
    </font>
    <font>
      <sz val="11"/>
      <color indexed="8"/>
      <name val="Ecofont_Spranq_eco_Sans"/>
      <family val="2"/>
    </font>
    <font>
      <strike/>
      <sz val="11"/>
      <color indexed="8"/>
      <name val="Ecofont_Spranq_eco_Sans"/>
      <family val="2"/>
    </font>
    <font>
      <sz val="11"/>
      <name val="Ecofont_Spranq_eco_Sans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Ecofont_Spranq_eco_Sans"/>
    </font>
    <font>
      <b/>
      <sz val="14"/>
      <color rgb="FF0070C0"/>
      <name val="RaX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sz val="9"/>
      <name val="RaXIAL"/>
    </font>
    <font>
      <sz val="9"/>
      <color theme="1"/>
      <name val="Verdana"/>
      <family val="2"/>
    </font>
    <font>
      <sz val="9"/>
      <color theme="1"/>
      <name val="Raxi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theme="4"/>
      <name val="Arial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10"/>
      <color theme="1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sz val="9"/>
      <color theme="1"/>
      <name val="Arial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7" fillId="0" borderId="0"/>
    <xf numFmtId="40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44" fontId="3" fillId="0" borderId="0" applyFont="0" applyFill="0" applyBorder="0" applyAlignment="0" applyProtection="0"/>
    <xf numFmtId="0" fontId="2" fillId="0" borderId="0"/>
  </cellStyleXfs>
  <cellXfs count="506">
    <xf numFmtId="0" fontId="0" fillId="0" borderId="0" xfId="0"/>
    <xf numFmtId="43" fontId="4" fillId="0" borderId="0" xfId="0" applyNumberFormat="1" applyFont="1"/>
    <xf numFmtId="0" fontId="5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Fill="1"/>
    <xf numFmtId="43" fontId="12" fillId="0" borderId="0" xfId="1" applyFont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4" xfId="0" applyFont="1" applyBorder="1"/>
    <xf numFmtId="0" fontId="12" fillId="0" borderId="0" xfId="0" applyFont="1" applyFill="1" applyAlignment="1">
      <alignment horizontal="center"/>
    </xf>
    <xf numFmtId="43" fontId="12" fillId="0" borderId="0" xfId="1" applyFont="1" applyFill="1"/>
    <xf numFmtId="0" fontId="12" fillId="0" borderId="5" xfId="0" applyFont="1" applyBorder="1"/>
    <xf numFmtId="0" fontId="12" fillId="0" borderId="8" xfId="0" applyFont="1" applyBorder="1"/>
    <xf numFmtId="43" fontId="14" fillId="0" borderId="0" xfId="1" applyFont="1" applyFill="1"/>
    <xf numFmtId="43" fontId="14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4" fillId="0" borderId="1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3" fontId="5" fillId="2" borderId="31" xfId="1" applyNumberFormat="1" applyFont="1" applyFill="1" applyBorder="1"/>
    <xf numFmtId="43" fontId="5" fillId="0" borderId="0" xfId="0" applyNumberFormat="1" applyFont="1" applyBorder="1"/>
    <xf numFmtId="0" fontId="5" fillId="0" borderId="0" xfId="0" applyFont="1" applyBorder="1"/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4" xfId="1" applyFont="1" applyBorder="1"/>
    <xf numFmtId="43" fontId="5" fillId="0" borderId="0" xfId="1" applyFont="1" applyBorder="1"/>
    <xf numFmtId="43" fontId="5" fillId="0" borderId="4" xfId="0" applyNumberFormat="1" applyFont="1" applyBorder="1"/>
    <xf numFmtId="10" fontId="5" fillId="0" borderId="0" xfId="0" applyNumberFormat="1" applyFont="1" applyBorder="1"/>
    <xf numFmtId="0" fontId="5" fillId="0" borderId="4" xfId="0" applyFont="1" applyBorder="1"/>
    <xf numFmtId="0" fontId="5" fillId="0" borderId="8" xfId="0" applyFont="1" applyBorder="1" applyAlignment="1">
      <alignment horizontal="right"/>
    </xf>
    <xf numFmtId="43" fontId="4" fillId="0" borderId="31" xfId="0" applyNumberFormat="1" applyFont="1" applyBorder="1"/>
    <xf numFmtId="0" fontId="5" fillId="0" borderId="0" xfId="0" applyFont="1"/>
    <xf numFmtId="43" fontId="12" fillId="0" borderId="0" xfId="0" applyNumberFormat="1" applyFont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166" fontId="5" fillId="0" borderId="0" xfId="2" applyNumberFormat="1" applyFont="1" applyAlignment="1">
      <alignment horizontal="left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5" xfId="0" applyFont="1" applyBorder="1" applyAlignment="1">
      <alignment horizontal="right" wrapText="1"/>
    </xf>
    <xf numFmtId="43" fontId="20" fillId="0" borderId="100" xfId="1" applyFont="1" applyBorder="1" applyAlignment="1">
      <alignment wrapText="1"/>
    </xf>
    <xf numFmtId="43" fontId="20" fillId="0" borderId="0" xfId="1" applyFont="1" applyAlignment="1">
      <alignment wrapText="1"/>
    </xf>
    <xf numFmtId="0" fontId="5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6" fillId="0" borderId="45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22" fillId="0" borderId="7" xfId="5" applyFont="1" applyBorder="1" applyAlignment="1">
      <alignment vertical="center"/>
    </xf>
    <xf numFmtId="0" fontId="5" fillId="0" borderId="46" xfId="5" applyFont="1" applyBorder="1" applyAlignment="1">
      <alignment vertical="center"/>
    </xf>
    <xf numFmtId="0" fontId="5" fillId="0" borderId="0" xfId="5" applyFont="1" applyBorder="1" applyAlignment="1">
      <alignment horizontal="centerContinuous" vertical="center"/>
    </xf>
    <xf numFmtId="0" fontId="5" fillId="0" borderId="45" xfId="5" applyFont="1" applyBorder="1" applyAlignment="1">
      <alignment vertical="center"/>
    </xf>
    <xf numFmtId="0" fontId="5" fillId="0" borderId="7" xfId="5" applyFont="1" applyBorder="1" applyAlignment="1">
      <alignment vertical="center"/>
    </xf>
    <xf numFmtId="0" fontId="4" fillId="0" borderId="47" xfId="5" applyFont="1" applyBorder="1" applyAlignment="1">
      <alignment horizontal="centerContinuous" vertical="center"/>
    </xf>
    <xf numFmtId="0" fontId="23" fillId="0" borderId="35" xfId="5" applyFont="1" applyBorder="1" applyAlignment="1">
      <alignment horizontal="centerContinuous" vertical="center"/>
    </xf>
    <xf numFmtId="0" fontId="5" fillId="0" borderId="35" xfId="5" applyFont="1" applyBorder="1" applyAlignment="1">
      <alignment horizontal="centerContinuous" vertical="center"/>
    </xf>
    <xf numFmtId="0" fontId="5" fillId="0" borderId="48" xfId="5" applyFont="1" applyBorder="1" applyAlignment="1">
      <alignment horizontal="centerContinuous" vertical="center"/>
    </xf>
    <xf numFmtId="0" fontId="22" fillId="0" borderId="41" xfId="5" applyFont="1" applyBorder="1" applyAlignment="1">
      <alignment vertical="center"/>
    </xf>
    <xf numFmtId="0" fontId="5" fillId="0" borderId="41" xfId="5" applyFont="1" applyBorder="1" applyAlignment="1">
      <alignment vertical="center"/>
    </xf>
    <xf numFmtId="0" fontId="5" fillId="0" borderId="42" xfId="5" applyFont="1" applyBorder="1" applyAlignment="1">
      <alignment vertical="center"/>
    </xf>
    <xf numFmtId="0" fontId="22" fillId="0" borderId="49" xfId="5" applyFont="1" applyBorder="1" applyAlignment="1">
      <alignment horizontal="centerContinuous" vertical="center"/>
    </xf>
    <xf numFmtId="0" fontId="23" fillId="0" borderId="17" xfId="5" applyFont="1" applyBorder="1" applyAlignment="1">
      <alignment horizontal="center" vertical="center"/>
    </xf>
    <xf numFmtId="0" fontId="22" fillId="0" borderId="50" xfId="5" applyFont="1" applyBorder="1" applyAlignment="1">
      <alignment horizontal="center" vertical="center"/>
    </xf>
    <xf numFmtId="0" fontId="22" fillId="0" borderId="8" xfId="5" applyFont="1" applyBorder="1" applyAlignment="1">
      <alignment vertical="center"/>
    </xf>
    <xf numFmtId="0" fontId="22" fillId="0" borderId="8" xfId="5" applyFont="1" applyBorder="1" applyAlignment="1">
      <alignment horizontal="center" vertical="center"/>
    </xf>
    <xf numFmtId="0" fontId="22" fillId="0" borderId="19" xfId="5" applyFont="1" applyBorder="1" applyAlignment="1">
      <alignment horizontal="center" vertical="center"/>
    </xf>
    <xf numFmtId="0" fontId="23" fillId="0" borderId="32" xfId="5" applyFont="1" applyBorder="1" applyAlignment="1">
      <alignment horizontal="center" vertical="center"/>
    </xf>
    <xf numFmtId="0" fontId="5" fillId="0" borderId="14" xfId="5" applyFont="1" applyBorder="1" applyAlignment="1">
      <alignment vertical="center"/>
    </xf>
    <xf numFmtId="0" fontId="5" fillId="0" borderId="44" xfId="5" applyFont="1" applyBorder="1" applyAlignment="1">
      <alignment vertical="center"/>
    </xf>
    <xf numFmtId="0" fontId="24" fillId="0" borderId="51" xfId="5" applyFont="1" applyBorder="1" applyAlignment="1">
      <alignment horizontal="center" vertical="center"/>
    </xf>
    <xf numFmtId="0" fontId="4" fillId="0" borderId="52" xfId="5" applyFont="1" applyBorder="1" applyAlignment="1">
      <alignment vertical="center"/>
    </xf>
    <xf numFmtId="3" fontId="4" fillId="0" borderId="53" xfId="5" applyNumberFormat="1" applyFont="1" applyBorder="1" applyAlignment="1">
      <alignment horizontal="center" vertical="center"/>
    </xf>
    <xf numFmtId="4" fontId="4" fillId="0" borderId="54" xfId="5" applyNumberFormat="1" applyFont="1" applyBorder="1" applyAlignment="1">
      <alignment vertical="center"/>
    </xf>
    <xf numFmtId="4" fontId="4" fillId="0" borderId="55" xfId="5" applyNumberFormat="1" applyFont="1" applyBorder="1" applyAlignment="1">
      <alignment vertical="center"/>
    </xf>
    <xf numFmtId="166" fontId="5" fillId="0" borderId="55" xfId="4" applyNumberFormat="1" applyFont="1" applyBorder="1" applyAlignment="1">
      <alignment horizontal="right" vertical="center"/>
    </xf>
    <xf numFmtId="0" fontId="24" fillId="0" borderId="56" xfId="5" applyFont="1" applyBorder="1" applyAlignment="1">
      <alignment horizontal="center" vertical="center"/>
    </xf>
    <xf numFmtId="0" fontId="4" fillId="0" borderId="57" xfId="5" applyFont="1" applyBorder="1" applyAlignment="1">
      <alignment vertical="center"/>
    </xf>
    <xf numFmtId="3" fontId="4" fillId="0" borderId="58" xfId="5" applyNumberFormat="1" applyFont="1" applyBorder="1" applyAlignment="1">
      <alignment horizontal="center" vertical="center"/>
    </xf>
    <xf numFmtId="4" fontId="4" fillId="0" borderId="59" xfId="5" applyNumberFormat="1" applyFont="1" applyBorder="1" applyAlignment="1">
      <alignment vertical="center"/>
    </xf>
    <xf numFmtId="4" fontId="4" fillId="0" borderId="21" xfId="5" applyNumberFormat="1" applyFont="1" applyBorder="1" applyAlignment="1">
      <alignment vertical="center"/>
    </xf>
    <xf numFmtId="166" fontId="5" fillId="0" borderId="21" xfId="4" applyNumberFormat="1" applyFont="1" applyBorder="1" applyAlignment="1">
      <alignment horizontal="right" vertical="center"/>
    </xf>
    <xf numFmtId="39" fontId="25" fillId="0" borderId="0" xfId="5" applyNumberFormat="1" applyFont="1" applyBorder="1" applyAlignment="1">
      <alignment horizontal="center" vertical="center"/>
    </xf>
    <xf numFmtId="169" fontId="15" fillId="0" borderId="46" xfId="5" applyNumberFormat="1" applyFont="1" applyBorder="1" applyAlignment="1">
      <alignment horizontal="center" vertical="center"/>
    </xf>
    <xf numFmtId="0" fontId="24" fillId="0" borderId="60" xfId="5" applyFont="1" applyBorder="1" applyAlignment="1">
      <alignment horizontal="center" vertical="center"/>
    </xf>
    <xf numFmtId="0" fontId="4" fillId="0" borderId="61" xfId="5" applyFont="1" applyBorder="1" applyAlignment="1">
      <alignment vertical="center"/>
    </xf>
    <xf numFmtId="3" fontId="4" fillId="0" borderId="62" xfId="5" applyNumberFormat="1" applyFont="1" applyBorder="1" applyAlignment="1">
      <alignment horizontal="center" vertical="center"/>
    </xf>
    <xf numFmtId="4" fontId="4" fillId="0" borderId="63" xfId="5" applyNumberFormat="1" applyFont="1" applyBorder="1" applyAlignment="1">
      <alignment vertical="center"/>
    </xf>
    <xf numFmtId="4" fontId="4" fillId="0" borderId="64" xfId="5" applyNumberFormat="1" applyFont="1" applyBorder="1" applyAlignment="1">
      <alignment vertical="center"/>
    </xf>
    <xf numFmtId="0" fontId="24" fillId="0" borderId="65" xfId="5" applyFont="1" applyBorder="1" applyAlignment="1">
      <alignment horizontal="center" vertical="center"/>
    </xf>
    <xf numFmtId="0" fontId="4" fillId="0" borderId="66" xfId="5" applyFont="1" applyBorder="1" applyAlignment="1">
      <alignment vertical="center"/>
    </xf>
    <xf numFmtId="3" fontId="4" fillId="0" borderId="67" xfId="5" applyNumberFormat="1" applyFont="1" applyBorder="1" applyAlignment="1">
      <alignment horizontal="center" vertical="center"/>
    </xf>
    <xf numFmtId="4" fontId="4" fillId="0" borderId="68" xfId="5" applyNumberFormat="1" applyFont="1" applyBorder="1" applyAlignment="1">
      <alignment vertical="center"/>
    </xf>
    <xf numFmtId="4" fontId="4" fillId="0" borderId="69" xfId="5" applyNumberFormat="1" applyFont="1" applyBorder="1" applyAlignment="1">
      <alignment vertical="center"/>
    </xf>
    <xf numFmtId="166" fontId="5" fillId="0" borderId="69" xfId="4" applyNumberFormat="1" applyFont="1" applyBorder="1" applyAlignment="1">
      <alignment horizontal="right" vertical="center"/>
    </xf>
    <xf numFmtId="0" fontId="27" fillId="0" borderId="70" xfId="5" applyFont="1" applyBorder="1" applyAlignment="1">
      <alignment horizontal="center" vertical="center"/>
    </xf>
    <xf numFmtId="4" fontId="4" fillId="0" borderId="73" xfId="5" applyNumberFormat="1" applyFont="1" applyBorder="1" applyAlignment="1">
      <alignment vertical="center"/>
    </xf>
    <xf numFmtId="166" fontId="4" fillId="0" borderId="16" xfId="4" applyNumberFormat="1" applyFont="1" applyBorder="1" applyAlignment="1">
      <alignment vertical="center"/>
    </xf>
    <xf numFmtId="0" fontId="4" fillId="0" borderId="45" xfId="5" applyFont="1" applyBorder="1" applyAlignment="1">
      <alignment horizontal="centerContinuous" vertical="center"/>
    </xf>
    <xf numFmtId="0" fontId="23" fillId="0" borderId="0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centerContinuous" vertical="center"/>
    </xf>
    <xf numFmtId="0" fontId="4" fillId="0" borderId="20" xfId="5" applyFont="1" applyBorder="1" applyAlignment="1">
      <alignment horizontal="centerContinuous" vertical="center"/>
    </xf>
    <xf numFmtId="0" fontId="16" fillId="0" borderId="0" xfId="5" applyFont="1" applyBorder="1" applyAlignment="1">
      <alignment horizontal="center" vertical="center"/>
    </xf>
    <xf numFmtId="0" fontId="4" fillId="0" borderId="76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53" xfId="5" applyFont="1" applyBorder="1" applyAlignment="1">
      <alignment vertical="center"/>
    </xf>
    <xf numFmtId="4" fontId="4" fillId="0" borderId="53" xfId="5" applyNumberFormat="1" applyFont="1" applyBorder="1" applyAlignment="1">
      <alignment vertical="center"/>
    </xf>
    <xf numFmtId="166" fontId="5" fillId="0" borderId="55" xfId="4" applyNumberFormat="1" applyFont="1" applyBorder="1" applyAlignment="1">
      <alignment vertical="center"/>
    </xf>
    <xf numFmtId="0" fontId="5" fillId="0" borderId="29" xfId="5" applyFont="1" applyBorder="1" applyAlignment="1">
      <alignment vertical="center"/>
    </xf>
    <xf numFmtId="0" fontId="5" fillId="0" borderId="77" xfId="5" applyFont="1" applyBorder="1" applyAlignment="1">
      <alignment vertical="center"/>
    </xf>
    <xf numFmtId="0" fontId="24" fillId="0" borderId="78" xfId="5" applyFont="1" applyBorder="1" applyAlignment="1">
      <alignment horizontal="center" vertical="center"/>
    </xf>
    <xf numFmtId="0" fontId="4" fillId="0" borderId="79" xfId="5" applyFont="1" applyBorder="1" applyAlignment="1">
      <alignment vertical="center"/>
    </xf>
    <xf numFmtId="4" fontId="4" fillId="0" borderId="79" xfId="5" applyNumberFormat="1" applyFont="1" applyBorder="1" applyAlignment="1">
      <alignment vertical="center"/>
    </xf>
    <xf numFmtId="4" fontId="4" fillId="0" borderId="80" xfId="5" applyNumberFormat="1" applyFont="1" applyBorder="1" applyAlignment="1">
      <alignment vertical="center"/>
    </xf>
    <xf numFmtId="4" fontId="4" fillId="0" borderId="81" xfId="5" applyNumberFormat="1" applyFont="1" applyBorder="1" applyAlignment="1">
      <alignment vertical="center"/>
    </xf>
    <xf numFmtId="166" fontId="5" fillId="0" borderId="21" xfId="4" applyNumberFormat="1" applyFont="1" applyBorder="1" applyAlignment="1">
      <alignment vertical="center"/>
    </xf>
    <xf numFmtId="0" fontId="4" fillId="0" borderId="58" xfId="5" applyFont="1" applyBorder="1" applyAlignment="1">
      <alignment vertical="center"/>
    </xf>
    <xf numFmtId="4" fontId="4" fillId="0" borderId="58" xfId="5" applyNumberFormat="1" applyFont="1" applyBorder="1" applyAlignment="1">
      <alignment vertical="center"/>
    </xf>
    <xf numFmtId="0" fontId="4" fillId="0" borderId="67" xfId="5" applyFont="1" applyBorder="1" applyAlignment="1">
      <alignment vertical="center"/>
    </xf>
    <xf numFmtId="4" fontId="4" fillId="0" borderId="67" xfId="5" applyNumberFormat="1" applyFont="1" applyBorder="1" applyAlignment="1">
      <alignment vertical="center"/>
    </xf>
    <xf numFmtId="166" fontId="5" fillId="0" borderId="69" xfId="4" applyNumberFormat="1" applyFont="1" applyBorder="1" applyAlignment="1">
      <alignment vertical="center"/>
    </xf>
    <xf numFmtId="0" fontId="24" fillId="0" borderId="104" xfId="5" applyFont="1" applyBorder="1" applyAlignment="1">
      <alignment horizontal="center" vertical="center"/>
    </xf>
    <xf numFmtId="4" fontId="4" fillId="0" borderId="32" xfId="5" applyNumberFormat="1" applyFont="1" applyBorder="1" applyAlignment="1">
      <alignment vertical="center"/>
    </xf>
    <xf numFmtId="166" fontId="5" fillId="0" borderId="32" xfId="4" applyNumberFormat="1" applyFont="1" applyBorder="1" applyAlignment="1">
      <alignment vertical="center"/>
    </xf>
    <xf numFmtId="4" fontId="4" fillId="0" borderId="15" xfId="5" applyNumberFormat="1" applyFont="1" applyBorder="1" applyAlignment="1">
      <alignment vertical="center"/>
    </xf>
    <xf numFmtId="166" fontId="5" fillId="0" borderId="81" xfId="4" applyNumberFormat="1" applyFont="1" applyBorder="1" applyAlignment="1">
      <alignment vertical="center"/>
    </xf>
    <xf numFmtId="4" fontId="5" fillId="0" borderId="0" xfId="5" applyNumberFormat="1" applyFont="1" applyBorder="1" applyAlignment="1">
      <alignment vertical="center"/>
    </xf>
    <xf numFmtId="0" fontId="24" fillId="0" borderId="82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4" fontId="4" fillId="0" borderId="8" xfId="5" applyNumberFormat="1" applyFont="1" applyBorder="1" applyAlignment="1">
      <alignment vertical="center"/>
    </xf>
    <xf numFmtId="4" fontId="4" fillId="0" borderId="20" xfId="5" applyNumberFormat="1" applyFont="1" applyBorder="1" applyAlignment="1">
      <alignment vertical="center"/>
    </xf>
    <xf numFmtId="0" fontId="28" fillId="0" borderId="83" xfId="5" applyFont="1" applyBorder="1" applyAlignment="1">
      <alignment horizontal="center" vertical="center"/>
    </xf>
    <xf numFmtId="166" fontId="4" fillId="0" borderId="32" xfId="4" applyNumberFormat="1" applyFont="1" applyBorder="1" applyAlignment="1">
      <alignment vertical="center"/>
    </xf>
    <xf numFmtId="0" fontId="5" fillId="0" borderId="84" xfId="5" applyFont="1" applyBorder="1" applyAlignment="1">
      <alignment horizontal="center" vertical="center"/>
    </xf>
    <xf numFmtId="0" fontId="23" fillId="0" borderId="28" xfId="5" applyFont="1" applyBorder="1" applyAlignment="1">
      <alignment vertical="center"/>
    </xf>
    <xf numFmtId="0" fontId="5" fillId="0" borderId="28" xfId="5" applyFont="1" applyBorder="1" applyAlignment="1">
      <alignment vertical="center"/>
    </xf>
    <xf numFmtId="0" fontId="28" fillId="0" borderId="85" xfId="5" applyFont="1" applyBorder="1" applyAlignment="1">
      <alignment horizontal="center" vertical="center"/>
    </xf>
    <xf numFmtId="4" fontId="4" fillId="0" borderId="86" xfId="5" applyNumberFormat="1" applyFont="1" applyBorder="1" applyAlignment="1">
      <alignment vertical="center"/>
    </xf>
    <xf numFmtId="0" fontId="5" fillId="0" borderId="43" xfId="5" applyFont="1" applyBorder="1" applyAlignment="1">
      <alignment horizontal="center" vertical="center"/>
    </xf>
    <xf numFmtId="0" fontId="4" fillId="0" borderId="87" xfId="5" applyFont="1" applyBorder="1" applyAlignment="1">
      <alignment horizontal="centerContinuous" vertical="center"/>
    </xf>
    <xf numFmtId="0" fontId="5" fillId="0" borderId="88" xfId="5" applyFont="1" applyBorder="1" applyAlignment="1">
      <alignment horizontal="centerContinuous" vertical="center"/>
    </xf>
    <xf numFmtId="0" fontId="5" fillId="0" borderId="29" xfId="5" applyFont="1" applyBorder="1" applyAlignment="1">
      <alignment horizontal="centerContinuous" vertical="center"/>
    </xf>
    <xf numFmtId="0" fontId="5" fillId="0" borderId="38" xfId="5" applyFont="1" applyBorder="1" applyAlignment="1">
      <alignment horizontal="centerContinuous" vertical="center"/>
    </xf>
    <xf numFmtId="0" fontId="5" fillId="0" borderId="89" xfId="5" applyFont="1" applyBorder="1" applyAlignment="1">
      <alignment horizontal="centerContinuous" vertical="center"/>
    </xf>
    <xf numFmtId="0" fontId="24" fillId="0" borderId="84" xfId="5" applyFont="1" applyBorder="1" applyAlignment="1">
      <alignment horizontal="centerContinuous" vertical="center"/>
    </xf>
    <xf numFmtId="0" fontId="27" fillId="0" borderId="90" xfId="5" applyFont="1" applyBorder="1" applyAlignment="1">
      <alignment horizontal="centerContinuous" vertical="center"/>
    </xf>
    <xf numFmtId="0" fontId="5" fillId="0" borderId="91" xfId="5" applyFont="1" applyBorder="1" applyAlignment="1">
      <alignment horizontal="centerContinuous" vertical="center"/>
    </xf>
    <xf numFmtId="0" fontId="5" fillId="0" borderId="46" xfId="5" applyFont="1" applyBorder="1" applyAlignment="1">
      <alignment horizontal="centerContinuous" vertical="center"/>
    </xf>
    <xf numFmtId="0" fontId="24" fillId="0" borderId="92" xfId="5" applyFont="1" applyBorder="1" applyAlignment="1">
      <alignment horizontal="center" vertical="center"/>
    </xf>
    <xf numFmtId="0" fontId="5" fillId="0" borderId="62" xfId="5" applyFont="1" applyBorder="1" applyAlignment="1">
      <alignment vertical="center"/>
    </xf>
    <xf numFmtId="4" fontId="5" fillId="0" borderId="23" xfId="5" applyNumberFormat="1" applyFont="1" applyBorder="1" applyAlignment="1">
      <alignment vertical="center"/>
    </xf>
    <xf numFmtId="0" fontId="29" fillId="0" borderId="22" xfId="5" applyFont="1" applyBorder="1" applyAlignment="1">
      <alignment vertical="center"/>
    </xf>
    <xf numFmtId="0" fontId="24" fillId="0" borderId="60" xfId="5" applyFont="1" applyBorder="1" applyAlignment="1" applyProtection="1">
      <alignment horizontal="center" vertical="center"/>
    </xf>
    <xf numFmtId="0" fontId="24" fillId="0" borderId="83" xfId="5" applyFont="1" applyBorder="1" applyAlignment="1">
      <alignment horizontal="center" vertical="center"/>
    </xf>
    <xf numFmtId="0" fontId="4" fillId="0" borderId="28" xfId="5" applyFont="1" applyBorder="1" applyAlignment="1">
      <alignment vertical="center"/>
    </xf>
    <xf numFmtId="10" fontId="4" fillId="0" borderId="95" xfId="4" applyNumberFormat="1" applyFont="1" applyBorder="1" applyAlignment="1">
      <alignment vertical="center"/>
    </xf>
    <xf numFmtId="0" fontId="5" fillId="0" borderId="24" xfId="5" applyFont="1" applyBorder="1" applyAlignment="1">
      <alignment vertical="center"/>
    </xf>
    <xf numFmtId="172" fontId="4" fillId="0" borderId="94" xfId="5" applyNumberFormat="1" applyFont="1" applyBorder="1" applyAlignment="1">
      <alignment horizontal="center" vertical="center"/>
    </xf>
    <xf numFmtId="0" fontId="30" fillId="0" borderId="45" xfId="5" applyFont="1" applyBorder="1" applyAlignment="1">
      <alignment vertical="center"/>
    </xf>
    <xf numFmtId="4" fontId="23" fillId="0" borderId="20" xfId="5" applyNumberFormat="1" applyFont="1" applyBorder="1" applyAlignment="1">
      <alignment vertical="center"/>
    </xf>
    <xf numFmtId="0" fontId="24" fillId="0" borderId="96" xfId="5" applyFont="1" applyBorder="1" applyAlignment="1">
      <alignment horizontal="center" vertical="center"/>
    </xf>
    <xf numFmtId="0" fontId="5" fillId="0" borderId="97" xfId="5" applyFont="1" applyBorder="1" applyAlignment="1">
      <alignment vertical="center"/>
    </xf>
    <xf numFmtId="172" fontId="4" fillId="0" borderId="98" xfId="5" applyNumberFormat="1" applyFont="1" applyBorder="1" applyAlignment="1">
      <alignment horizontal="center" vertical="center"/>
    </xf>
    <xf numFmtId="0" fontId="5" fillId="0" borderId="26" xfId="5" applyFont="1" applyBorder="1" applyAlignment="1">
      <alignment vertical="center"/>
    </xf>
    <xf numFmtId="40" fontId="5" fillId="0" borderId="26" xfId="6" applyFont="1" applyBorder="1" applyAlignment="1">
      <alignment vertical="center"/>
    </xf>
    <xf numFmtId="0" fontId="5" fillId="0" borderId="30" xfId="5" applyFont="1" applyBorder="1" applyAlignment="1">
      <alignment vertical="center"/>
    </xf>
    <xf numFmtId="0" fontId="5" fillId="0" borderId="99" xfId="5" applyFont="1" applyBorder="1" applyAlignment="1">
      <alignment vertical="center"/>
    </xf>
    <xf numFmtId="0" fontId="31" fillId="0" borderId="0" xfId="0" applyFont="1"/>
    <xf numFmtId="0" fontId="32" fillId="0" borderId="0" xfId="0" applyFont="1" applyFill="1"/>
    <xf numFmtId="0" fontId="33" fillId="0" borderId="0" xfId="0" applyFont="1"/>
    <xf numFmtId="0" fontId="26" fillId="0" borderId="1" xfId="0" applyFont="1" applyBorder="1"/>
    <xf numFmtId="0" fontId="26" fillId="0" borderId="40" xfId="0" applyFont="1" applyBorder="1"/>
    <xf numFmtId="0" fontId="34" fillId="0" borderId="40" xfId="0" applyFont="1" applyBorder="1"/>
    <xf numFmtId="0" fontId="34" fillId="0" borderId="2" xfId="0" applyFont="1" applyBorder="1"/>
    <xf numFmtId="0" fontId="34" fillId="0" borderId="0" xfId="0" applyFont="1"/>
    <xf numFmtId="0" fontId="35" fillId="0" borderId="3" xfId="0" applyFont="1" applyBorder="1"/>
    <xf numFmtId="0" fontId="34" fillId="0" borderId="0" xfId="0" applyFont="1" applyBorder="1"/>
    <xf numFmtId="0" fontId="34" fillId="0" borderId="4" xfId="0" applyFont="1" applyBorder="1" applyAlignment="1"/>
    <xf numFmtId="0" fontId="34" fillId="0" borderId="0" xfId="0" applyFont="1" applyFill="1" applyBorder="1" applyAlignment="1">
      <alignment horizontal="left"/>
    </xf>
    <xf numFmtId="0" fontId="34" fillId="0" borderId="4" xfId="0" applyFont="1" applyBorder="1"/>
    <xf numFmtId="0" fontId="36" fillId="0" borderId="0" xfId="0" applyFont="1" applyBorder="1" applyAlignment="1">
      <alignment horizontal="right"/>
    </xf>
    <xf numFmtId="0" fontId="35" fillId="0" borderId="5" xfId="0" applyFont="1" applyBorder="1"/>
    <xf numFmtId="0" fontId="35" fillId="0" borderId="0" xfId="0" applyFont="1"/>
    <xf numFmtId="0" fontId="34" fillId="0" borderId="0" xfId="0" applyFont="1" applyFill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0" fontId="35" fillId="0" borderId="0" xfId="0" applyFont="1" applyBorder="1"/>
    <xf numFmtId="168" fontId="34" fillId="0" borderId="0" xfId="0" applyNumberFormat="1" applyFont="1" applyBorder="1" applyAlignment="1">
      <alignment horizontal="center"/>
    </xf>
    <xf numFmtId="0" fontId="26" fillId="0" borderId="3" xfId="0" applyFont="1" applyBorder="1" applyAlignment="1"/>
    <xf numFmtId="0" fontId="36" fillId="0" borderId="0" xfId="0" applyFont="1" applyBorder="1" applyAlignment="1"/>
    <xf numFmtId="20" fontId="36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26" fillId="0" borderId="0" xfId="0" applyFont="1" applyBorder="1"/>
    <xf numFmtId="0" fontId="34" fillId="0" borderId="0" xfId="0" applyFont="1" applyBorder="1" applyAlignment="1"/>
    <xf numFmtId="0" fontId="35" fillId="0" borderId="0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0" fontId="34" fillId="0" borderId="4" xfId="0" applyFont="1" applyFill="1" applyBorder="1"/>
    <xf numFmtId="0" fontId="34" fillId="0" borderId="6" xfId="0" applyFont="1" applyBorder="1"/>
    <xf numFmtId="0" fontId="38" fillId="0" borderId="0" xfId="0" applyFont="1"/>
    <xf numFmtId="0" fontId="19" fillId="0" borderId="0" xfId="0" applyFont="1"/>
    <xf numFmtId="0" fontId="32" fillId="0" borderId="0" xfId="0" applyFont="1"/>
    <xf numFmtId="0" fontId="39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6" xfId="0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3" fontId="19" fillId="2" borderId="84" xfId="1" applyFont="1" applyFill="1" applyBorder="1" applyAlignment="1">
      <alignment vertical="center"/>
    </xf>
    <xf numFmtId="174" fontId="19" fillId="2" borderId="31" xfId="1" applyNumberFormat="1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19" fillId="3" borderId="14" xfId="0" applyFont="1" applyFill="1" applyBorder="1" applyAlignment="1">
      <alignment horizontal="center" vertical="center"/>
    </xf>
    <xf numFmtId="165" fontId="19" fillId="3" borderId="22" xfId="1" applyNumberFormat="1" applyFont="1" applyFill="1" applyBorder="1" applyAlignment="1">
      <alignment horizontal="center" vertical="center"/>
    </xf>
    <xf numFmtId="43" fontId="19" fillId="0" borderId="16" xfId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3" borderId="8" xfId="0" applyFont="1" applyFill="1" applyBorder="1" applyAlignment="1">
      <alignment horizontal="right" vertical="center"/>
    </xf>
    <xf numFmtId="43" fontId="19" fillId="3" borderId="73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8" fillId="0" borderId="0" xfId="0" applyFont="1" applyAlignment="1"/>
    <xf numFmtId="0" fontId="38" fillId="0" borderId="0" xfId="5" applyFont="1" applyAlignment="1">
      <alignment vertical="center"/>
    </xf>
    <xf numFmtId="43" fontId="4" fillId="0" borderId="0" xfId="1" applyFont="1" applyBorder="1" applyAlignment="1">
      <alignment vertical="center"/>
    </xf>
    <xf numFmtId="10" fontId="4" fillId="2" borderId="93" xfId="4" applyNumberFormat="1" applyFont="1" applyFill="1" applyBorder="1" applyAlignment="1">
      <alignment vertical="center"/>
    </xf>
    <xf numFmtId="10" fontId="4" fillId="2" borderId="94" xfId="4" applyNumberFormat="1" applyFont="1" applyFill="1" applyBorder="1" applyAlignment="1">
      <alignment vertical="center"/>
    </xf>
    <xf numFmtId="43" fontId="19" fillId="2" borderId="101" xfId="1" applyFont="1" applyFill="1" applyBorder="1" applyAlignment="1">
      <alignment wrapText="1"/>
    </xf>
    <xf numFmtId="43" fontId="38" fillId="0" borderId="0" xfId="1" applyFont="1" applyAlignment="1"/>
    <xf numFmtId="43" fontId="19" fillId="0" borderId="0" xfId="1" applyFont="1" applyAlignment="1">
      <alignment wrapText="1"/>
    </xf>
    <xf numFmtId="43" fontId="20" fillId="0" borderId="101" xfId="1" applyFont="1" applyBorder="1" applyAlignment="1">
      <alignment horizontal="center" wrapText="1"/>
    </xf>
    <xf numFmtId="43" fontId="20" fillId="0" borderId="102" xfId="1" applyFont="1" applyBorder="1" applyAlignment="1">
      <alignment horizontal="center" wrapText="1"/>
    </xf>
    <xf numFmtId="9" fontId="4" fillId="2" borderId="64" xfId="2" applyFont="1" applyFill="1" applyBorder="1" applyAlignment="1">
      <alignment vertical="center"/>
    </xf>
    <xf numFmtId="10" fontId="5" fillId="0" borderId="21" xfId="2" applyNumberFormat="1" applyFont="1" applyBorder="1" applyAlignment="1">
      <alignment vertical="center"/>
    </xf>
    <xf numFmtId="0" fontId="19" fillId="0" borderId="106" xfId="0" applyFont="1" applyBorder="1"/>
    <xf numFmtId="0" fontId="22" fillId="0" borderId="106" xfId="8" applyFont="1" applyBorder="1" applyAlignment="1">
      <alignment horizontal="center"/>
    </xf>
    <xf numFmtId="0" fontId="4" fillId="0" borderId="106" xfId="8" applyFont="1" applyBorder="1" applyAlignment="1">
      <alignment horizontal="center"/>
    </xf>
    <xf numFmtId="0" fontId="4" fillId="0" borderId="106" xfId="8" applyFont="1" applyBorder="1"/>
    <xf numFmtId="0" fontId="17" fillId="0" borderId="106" xfId="8" applyFont="1" applyBorder="1" applyAlignment="1">
      <alignment horizontal="center"/>
    </xf>
    <xf numFmtId="0" fontId="5" fillId="0" borderId="106" xfId="8" applyFont="1" applyBorder="1" applyAlignment="1">
      <alignment horizontal="left"/>
    </xf>
    <xf numFmtId="166" fontId="5" fillId="2" borderId="106" xfId="4" applyNumberFormat="1" applyFont="1" applyFill="1" applyBorder="1"/>
    <xf numFmtId="0" fontId="5" fillId="0" borderId="106" xfId="8" applyFont="1" applyBorder="1"/>
    <xf numFmtId="0" fontId="18" fillId="0" borderId="106" xfId="8" applyFont="1" applyBorder="1"/>
    <xf numFmtId="166" fontId="18" fillId="0" borderId="106" xfId="4" applyNumberFormat="1" applyFont="1" applyBorder="1"/>
    <xf numFmtId="0" fontId="42" fillId="4" borderId="106" xfId="0" applyFont="1" applyFill="1" applyBorder="1" applyAlignment="1" applyProtection="1">
      <alignment horizontal="left"/>
    </xf>
    <xf numFmtId="10" fontId="5" fillId="2" borderId="106" xfId="4" applyNumberFormat="1" applyFont="1" applyFill="1" applyBorder="1"/>
    <xf numFmtId="10" fontId="18" fillId="0" borderId="106" xfId="4" applyNumberFormat="1" applyFont="1" applyBorder="1"/>
    <xf numFmtId="10" fontId="5" fillId="0" borderId="106" xfId="8" applyNumberFormat="1" applyFont="1" applyBorder="1"/>
    <xf numFmtId="10" fontId="16" fillId="0" borderId="106" xfId="4" applyNumberFormat="1" applyFont="1" applyBorder="1"/>
    <xf numFmtId="0" fontId="45" fillId="0" borderId="0" xfId="0" applyFont="1" applyProtection="1"/>
    <xf numFmtId="0" fontId="45" fillId="0" borderId="106" xfId="0" applyFont="1" applyBorder="1" applyAlignment="1" applyProtection="1">
      <alignment vertical="top" wrapText="1"/>
    </xf>
    <xf numFmtId="0" fontId="45" fillId="0" borderId="0" xfId="0" applyFont="1" applyBorder="1" applyAlignment="1" applyProtection="1">
      <alignment vertical="top" wrapText="1"/>
    </xf>
    <xf numFmtId="0" fontId="45" fillId="0" borderId="0" xfId="0" applyFont="1" applyBorder="1" applyAlignment="1" applyProtection="1">
      <alignment horizontal="justify" vertical="top" wrapText="1"/>
    </xf>
    <xf numFmtId="0" fontId="44" fillId="4" borderId="106" xfId="0" applyFont="1" applyFill="1" applyBorder="1" applyAlignment="1" applyProtection="1">
      <alignment horizontal="center" vertical="center" wrapText="1"/>
    </xf>
    <xf numFmtId="0" fontId="48" fillId="2" borderId="106" xfId="0" applyFont="1" applyFill="1" applyBorder="1" applyAlignment="1" applyProtection="1">
      <alignment horizontal="center" vertical="center" wrapText="1"/>
    </xf>
    <xf numFmtId="0" fontId="45" fillId="0" borderId="106" xfId="0" applyFont="1" applyBorder="1" applyAlignment="1" applyProtection="1">
      <alignment horizontal="center" vertical="center" wrapText="1"/>
    </xf>
    <xf numFmtId="0" fontId="44" fillId="4" borderId="0" xfId="0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top" wrapText="1"/>
    </xf>
    <xf numFmtId="0" fontId="50" fillId="0" borderId="0" xfId="0" applyFont="1" applyBorder="1" applyAlignment="1" applyProtection="1">
      <alignment horizontal="justify" vertical="center" wrapText="1"/>
    </xf>
    <xf numFmtId="0" fontId="44" fillId="0" borderId="106" xfId="0" applyFont="1" applyBorder="1" applyAlignment="1" applyProtection="1">
      <alignment horizontal="center" vertical="top" wrapText="1"/>
    </xf>
    <xf numFmtId="0" fontId="43" fillId="0" borderId="0" xfId="0" applyFont="1" applyBorder="1" applyAlignment="1" applyProtection="1">
      <alignment horizontal="left"/>
    </xf>
    <xf numFmtId="0" fontId="44" fillId="4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left"/>
    </xf>
    <xf numFmtId="10" fontId="44" fillId="0" borderId="0" xfId="2" applyNumberFormat="1" applyFont="1" applyFill="1" applyBorder="1" applyAlignment="1" applyProtection="1">
      <alignment horizontal="center"/>
    </xf>
    <xf numFmtId="2" fontId="44" fillId="0" borderId="0" xfId="0" applyNumberFormat="1" applyFont="1" applyFill="1" applyBorder="1" applyAlignment="1" applyProtection="1">
      <alignment horizontal="center"/>
    </xf>
    <xf numFmtId="0" fontId="45" fillId="0" borderId="106" xfId="0" applyFont="1" applyBorder="1" applyAlignment="1" applyProtection="1">
      <alignment vertical="top"/>
    </xf>
    <xf numFmtId="0" fontId="51" fillId="0" borderId="0" xfId="0" applyFont="1" applyBorder="1" applyAlignment="1" applyProtection="1"/>
    <xf numFmtId="0" fontId="36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left"/>
    </xf>
    <xf numFmtId="2" fontId="36" fillId="4" borderId="0" xfId="0" applyNumberFormat="1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/>
    <xf numFmtId="0" fontId="31" fillId="0" borderId="0" xfId="0" applyFont="1"/>
    <xf numFmtId="0" fontId="34" fillId="0" borderId="0" xfId="0" applyFont="1" applyBorder="1"/>
    <xf numFmtId="0" fontId="34" fillId="0" borderId="0" xfId="0" applyFont="1" applyFill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168" fontId="3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10" fontId="4" fillId="2" borderId="94" xfId="1" applyNumberFormat="1" applyFont="1" applyFill="1" applyBorder="1" applyAlignment="1">
      <alignment vertical="center"/>
    </xf>
    <xf numFmtId="43" fontId="5" fillId="0" borderId="14" xfId="1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175" fontId="26" fillId="0" borderId="46" xfId="1" applyNumberFormat="1" applyFont="1" applyBorder="1" applyAlignment="1">
      <alignment vertical="center"/>
    </xf>
    <xf numFmtId="166" fontId="5" fillId="0" borderId="86" xfId="5" applyNumberFormat="1" applyFont="1" applyBorder="1" applyAlignment="1">
      <alignment vertical="center"/>
    </xf>
    <xf numFmtId="173" fontId="36" fillId="2" borderId="106" xfId="1" applyNumberFormat="1" applyFont="1" applyFill="1" applyBorder="1" applyAlignment="1">
      <alignment horizontal="right"/>
    </xf>
    <xf numFmtId="20" fontId="36" fillId="0" borderId="0" xfId="0" applyNumberFormat="1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2" borderId="31" xfId="0" applyFont="1" applyFill="1" applyBorder="1" applyAlignment="1">
      <alignment horizontal="right"/>
    </xf>
    <xf numFmtId="167" fontId="36" fillId="0" borderId="8" xfId="1" applyNumberFormat="1" applyFont="1" applyBorder="1" applyAlignment="1">
      <alignment horizontal="right"/>
    </xf>
    <xf numFmtId="21" fontId="36" fillId="2" borderId="31" xfId="0" applyNumberFormat="1" applyFont="1" applyFill="1" applyBorder="1" applyAlignment="1">
      <alignment horizontal="right"/>
    </xf>
    <xf numFmtId="0" fontId="31" fillId="0" borderId="0" xfId="0" applyFont="1" applyBorder="1"/>
    <xf numFmtId="167" fontId="5" fillId="2" borderId="31" xfId="1" applyNumberFormat="1" applyFont="1" applyFill="1" applyBorder="1" applyAlignment="1">
      <alignment horizontal="right"/>
    </xf>
    <xf numFmtId="2" fontId="5" fillId="2" borderId="31" xfId="1" applyNumberFormat="1" applyFont="1" applyFill="1" applyBorder="1" applyAlignment="1">
      <alignment horizontal="right"/>
    </xf>
    <xf numFmtId="2" fontId="5" fillId="2" borderId="31" xfId="0" applyNumberFormat="1" applyFont="1" applyFill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2" fontId="5" fillId="2" borderId="31" xfId="0" applyNumberFormat="1" applyFont="1" applyFill="1" applyBorder="1" applyAlignment="1"/>
    <xf numFmtId="0" fontId="19" fillId="0" borderId="7" xfId="0" applyFont="1" applyBorder="1"/>
    <xf numFmtId="0" fontId="5" fillId="0" borderId="112" xfId="5" applyFont="1" applyBorder="1" applyAlignment="1">
      <alignment horizontal="centerContinuous" vertical="center"/>
    </xf>
    <xf numFmtId="4" fontId="5" fillId="0" borderId="75" xfId="5" applyNumberFormat="1" applyFont="1" applyBorder="1" applyAlignment="1">
      <alignment vertical="center"/>
    </xf>
    <xf numFmtId="0" fontId="5" fillId="0" borderId="22" xfId="5" applyFont="1" applyBorder="1" applyAlignment="1">
      <alignment vertical="center"/>
    </xf>
    <xf numFmtId="4" fontId="18" fillId="0" borderId="20" xfId="5" applyNumberFormat="1" applyFont="1" applyBorder="1" applyAlignment="1">
      <alignment vertical="center"/>
    </xf>
    <xf numFmtId="40" fontId="18" fillId="0" borderId="20" xfId="6" applyFont="1" applyBorder="1" applyAlignment="1">
      <alignment vertical="center"/>
    </xf>
    <xf numFmtId="0" fontId="5" fillId="0" borderId="0" xfId="5" applyFont="1" applyBorder="1" applyAlignment="1">
      <alignment horizontal="left" vertical="center"/>
    </xf>
    <xf numFmtId="0" fontId="5" fillId="0" borderId="45" xfId="5" applyFont="1" applyBorder="1" applyAlignment="1">
      <alignment horizontal="centerContinuous" vertical="center"/>
    </xf>
    <xf numFmtId="43" fontId="18" fillId="0" borderId="20" xfId="1" applyFont="1" applyBorder="1" applyAlignment="1">
      <alignment horizontal="center" vertical="center"/>
    </xf>
    <xf numFmtId="165" fontId="18" fillId="0" borderId="20" xfId="1" applyNumberFormat="1" applyFont="1" applyBorder="1" applyAlignment="1">
      <alignment vertical="center"/>
    </xf>
    <xf numFmtId="43" fontId="4" fillId="0" borderId="0" xfId="0" applyNumberFormat="1" applyFont="1" applyBorder="1"/>
    <xf numFmtId="0" fontId="53" fillId="0" borderId="0" xfId="0" applyFont="1"/>
    <xf numFmtId="0" fontId="26" fillId="0" borderId="5" xfId="0" applyFont="1" applyBorder="1"/>
    <xf numFmtId="0" fontId="26" fillId="0" borderId="3" xfId="0" applyFont="1" applyBorder="1"/>
    <xf numFmtId="168" fontId="36" fillId="0" borderId="4" xfId="0" applyNumberFormat="1" applyFont="1" applyFill="1" applyBorder="1" applyAlignment="1">
      <alignment horizontal="right"/>
    </xf>
    <xf numFmtId="3" fontId="36" fillId="0" borderId="4" xfId="0" applyNumberFormat="1" applyFont="1" applyFill="1" applyBorder="1" applyAlignment="1">
      <alignment horizontal="right"/>
    </xf>
    <xf numFmtId="4" fontId="36" fillId="2" borderId="31" xfId="0" applyNumberFormat="1" applyFont="1" applyFill="1" applyBorder="1" applyAlignment="1">
      <alignment horizontal="right"/>
    </xf>
    <xf numFmtId="9" fontId="36" fillId="2" borderId="31" xfId="0" applyNumberFormat="1" applyFont="1" applyFill="1" applyBorder="1" applyAlignment="1">
      <alignment horizontal="right"/>
    </xf>
    <xf numFmtId="4" fontId="36" fillId="0" borderId="4" xfId="0" applyNumberFormat="1" applyFont="1" applyBorder="1" applyAlignment="1">
      <alignment horizontal="right"/>
    </xf>
    <xf numFmtId="4" fontId="26" fillId="0" borderId="6" xfId="0" applyNumberFormat="1" applyFont="1" applyBorder="1" applyAlignment="1">
      <alignment horizontal="right"/>
    </xf>
    <xf numFmtId="0" fontId="19" fillId="0" borderId="0" xfId="0" applyFont="1" applyAlignment="1">
      <alignment horizontal="left" wrapText="1"/>
    </xf>
    <xf numFmtId="43" fontId="19" fillId="0" borderId="0" xfId="1" applyFont="1" applyAlignment="1">
      <alignment horizontal="left" wrapText="1"/>
    </xf>
    <xf numFmtId="43" fontId="15" fillId="0" borderId="7" xfId="1" applyFont="1" applyBorder="1" applyAlignment="1">
      <alignment horizontal="right" vertical="center"/>
    </xf>
    <xf numFmtId="10" fontId="54" fillId="2" borderId="94" xfId="4" applyNumberFormat="1" applyFont="1" applyFill="1" applyBorder="1" applyAlignment="1">
      <alignment vertical="center"/>
    </xf>
    <xf numFmtId="43" fontId="0" fillId="0" borderId="0" xfId="1" applyFont="1"/>
    <xf numFmtId="0" fontId="57" fillId="0" borderId="0" xfId="0" applyFont="1"/>
    <xf numFmtId="0" fontId="0" fillId="2" borderId="0" xfId="0" applyFont="1" applyFill="1"/>
    <xf numFmtId="0" fontId="57" fillId="2" borderId="0" xfId="0" applyFont="1" applyFill="1"/>
    <xf numFmtId="43" fontId="57" fillId="0" borderId="0" xfId="1" applyFont="1"/>
    <xf numFmtId="0" fontId="58" fillId="0" borderId="116" xfId="0" applyFont="1" applyBorder="1"/>
    <xf numFmtId="0" fontId="58" fillId="0" borderId="117" xfId="0" applyFont="1" applyBorder="1"/>
    <xf numFmtId="43" fontId="58" fillId="0" borderId="117" xfId="1" applyFont="1" applyBorder="1"/>
    <xf numFmtId="0" fontId="58" fillId="0" borderId="118" xfId="0" applyFont="1" applyBorder="1"/>
    <xf numFmtId="0" fontId="59" fillId="0" borderId="3" xfId="0" applyFont="1" applyFill="1" applyBorder="1" applyAlignment="1">
      <alignment horizontal="left"/>
    </xf>
    <xf numFmtId="0" fontId="60" fillId="0" borderId="106" xfId="0" applyFont="1" applyBorder="1"/>
    <xf numFmtId="43" fontId="60" fillId="0" borderId="16" xfId="1" applyFont="1" applyBorder="1"/>
    <xf numFmtId="43" fontId="60" fillId="0" borderId="106" xfId="0" applyNumberFormat="1" applyFont="1" applyBorder="1"/>
    <xf numFmtId="0" fontId="61" fillId="0" borderId="106" xfId="0" applyFont="1" applyBorder="1"/>
    <xf numFmtId="0" fontId="60" fillId="0" borderId="106" xfId="0" applyFont="1" applyBorder="1" applyAlignment="1"/>
    <xf numFmtId="0" fontId="5" fillId="0" borderId="0" xfId="5" applyFont="1" applyAlignment="1">
      <alignment horizontal="center" vertical="center"/>
    </xf>
    <xf numFmtId="0" fontId="5" fillId="0" borderId="20" xfId="5" applyFont="1" applyBorder="1" applyAlignment="1">
      <alignment vertical="center"/>
    </xf>
    <xf numFmtId="0" fontId="15" fillId="0" borderId="45" xfId="5" applyFont="1" applyBorder="1" applyAlignment="1">
      <alignment vertical="center"/>
    </xf>
    <xf numFmtId="171" fontId="26" fillId="0" borderId="46" xfId="5" applyNumberFormat="1" applyFont="1" applyBorder="1" applyAlignment="1">
      <alignment horizontal="left" vertical="center"/>
    </xf>
    <xf numFmtId="0" fontId="16" fillId="0" borderId="7" xfId="5" applyFont="1" applyBorder="1" applyAlignment="1">
      <alignment horizontal="left" vertical="center"/>
    </xf>
    <xf numFmtId="43" fontId="16" fillId="0" borderId="7" xfId="1" applyFont="1" applyBorder="1" applyAlignment="1">
      <alignment vertical="center"/>
    </xf>
    <xf numFmtId="43" fontId="16" fillId="0" borderId="46" xfId="5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Fill="1"/>
    <xf numFmtId="0" fontId="63" fillId="0" borderId="0" xfId="0" applyFont="1"/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4" fontId="45" fillId="2" borderId="106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106" xfId="0" applyFont="1" applyFill="1" applyBorder="1" applyAlignment="1" applyProtection="1">
      <alignment horizontal="center" vertical="center" wrapText="1"/>
    </xf>
    <xf numFmtId="0" fontId="51" fillId="4" borderId="0" xfId="0" applyFont="1" applyFill="1" applyBorder="1" applyAlignment="1" applyProtection="1">
      <alignment horizontal="left" vertical="top" wrapText="1"/>
    </xf>
    <xf numFmtId="168" fontId="36" fillId="0" borderId="8" xfId="1" applyNumberFormat="1" applyFont="1" applyBorder="1" applyAlignment="1">
      <alignment horizontal="right"/>
    </xf>
    <xf numFmtId="0" fontId="44" fillId="0" borderId="29" xfId="0" applyFont="1" applyBorder="1" applyAlignment="1" applyProtection="1">
      <alignment horizontal="center" vertical="top" wrapText="1"/>
    </xf>
    <xf numFmtId="0" fontId="45" fillId="0" borderId="29" xfId="0" applyFont="1" applyBorder="1" applyAlignment="1" applyProtection="1">
      <alignment vertical="top" wrapText="1"/>
    </xf>
    <xf numFmtId="14" fontId="45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29" xfId="0" applyFont="1" applyFill="1" applyBorder="1" applyAlignment="1" applyProtection="1">
      <alignment horizontal="center" vertical="center" wrapText="1"/>
      <protection locked="0"/>
    </xf>
    <xf numFmtId="164" fontId="5" fillId="2" borderId="16" xfId="7" applyFont="1" applyFill="1" applyBorder="1" applyAlignment="1">
      <alignment horizontal="center"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43" fontId="19" fillId="2" borderId="74" xfId="1" applyFont="1" applyFill="1" applyBorder="1" applyAlignment="1">
      <alignment vertical="center"/>
    </xf>
    <xf numFmtId="174" fontId="19" fillId="2" borderId="120" xfId="1" applyNumberFormat="1" applyFont="1" applyFill="1" applyBorder="1" applyAlignment="1">
      <alignment vertical="center"/>
    </xf>
    <xf numFmtId="0" fontId="40" fillId="0" borderId="72" xfId="0" applyFont="1" applyBorder="1" applyAlignment="1">
      <alignment vertical="center"/>
    </xf>
    <xf numFmtId="3" fontId="19" fillId="0" borderId="111" xfId="0" applyNumberFormat="1" applyFont="1" applyBorder="1" applyAlignment="1">
      <alignment horizontal="left" vertical="center"/>
    </xf>
    <xf numFmtId="43" fontId="19" fillId="0" borderId="23" xfId="1" applyNumberFormat="1" applyFont="1" applyFill="1" applyBorder="1" applyAlignment="1">
      <alignment horizontal="center" vertical="center"/>
    </xf>
    <xf numFmtId="43" fontId="19" fillId="0" borderId="20" xfId="1" applyNumberFormat="1" applyFont="1" applyFill="1" applyBorder="1" applyAlignment="1">
      <alignment horizontal="center" vertical="center"/>
    </xf>
    <xf numFmtId="43" fontId="19" fillId="0" borderId="39" xfId="1" applyFont="1" applyFill="1" applyBorder="1" applyAlignment="1">
      <alignment vertical="center"/>
    </xf>
    <xf numFmtId="9" fontId="36" fillId="2" borderId="31" xfId="2" applyFont="1" applyFill="1" applyBorder="1" applyAlignment="1">
      <alignment horizontal="right"/>
    </xf>
    <xf numFmtId="176" fontId="36" fillId="2" borderId="31" xfId="0" applyNumberFormat="1" applyFont="1" applyFill="1" applyBorder="1" applyAlignment="1">
      <alignment horizontal="right"/>
    </xf>
    <xf numFmtId="0" fontId="36" fillId="0" borderId="0" xfId="0" applyFont="1" applyAlignment="1"/>
    <xf numFmtId="4" fontId="36" fillId="4" borderId="31" xfId="0" applyNumberFormat="1" applyFont="1" applyFill="1" applyBorder="1" applyAlignment="1">
      <alignment horizontal="right"/>
    </xf>
    <xf numFmtId="43" fontId="36" fillId="4" borderId="31" xfId="1" applyFont="1" applyFill="1" applyBorder="1" applyAlignment="1"/>
    <xf numFmtId="166" fontId="60" fillId="0" borderId="106" xfId="0" applyNumberFormat="1" applyFont="1" applyBorder="1"/>
    <xf numFmtId="177" fontId="60" fillId="0" borderId="106" xfId="1" applyNumberFormat="1" applyFont="1" applyBorder="1"/>
    <xf numFmtId="0" fontId="72" fillId="0" borderId="106" xfId="0" applyFont="1" applyBorder="1"/>
    <xf numFmtId="2" fontId="72" fillId="0" borderId="106" xfId="0" applyNumberFormat="1" applyFont="1" applyBorder="1"/>
    <xf numFmtId="43" fontId="72" fillId="0" borderId="16" xfId="1" applyFont="1" applyBorder="1"/>
    <xf numFmtId="43" fontId="72" fillId="0" borderId="106" xfId="0" applyNumberFormat="1" applyFont="1" applyBorder="1"/>
    <xf numFmtId="44" fontId="60" fillId="0" borderId="106" xfId="9" applyFont="1" applyBorder="1"/>
    <xf numFmtId="44" fontId="72" fillId="0" borderId="106" xfId="9" applyFont="1" applyBorder="1"/>
    <xf numFmtId="0" fontId="44" fillId="0" borderId="0" xfId="0" applyFont="1" applyAlignment="1" applyProtection="1">
      <alignment horizontal="left" vertical="center" wrapText="1"/>
    </xf>
    <xf numFmtId="49" fontId="49" fillId="0" borderId="29" xfId="0" applyNumberFormat="1" applyFont="1" applyBorder="1" applyAlignment="1">
      <alignment horizontal="left" vertical="center" wrapText="1" readingOrder="1"/>
    </xf>
    <xf numFmtId="0" fontId="44" fillId="0" borderId="106" xfId="0" applyFont="1" applyBorder="1" applyAlignment="1" applyProtection="1">
      <alignment horizontal="center" vertical="center" wrapText="1"/>
    </xf>
    <xf numFmtId="0" fontId="45" fillId="0" borderId="106" xfId="0" applyFont="1" applyBorder="1" applyAlignment="1" applyProtection="1">
      <alignment horizontal="center" vertical="top" wrapText="1"/>
    </xf>
    <xf numFmtId="0" fontId="45" fillId="0" borderId="0" xfId="0" applyFont="1" applyBorder="1" applyAlignment="1" applyProtection="1">
      <alignment horizontal="center"/>
    </xf>
    <xf numFmtId="0" fontId="52" fillId="0" borderId="14" xfId="0" applyFont="1" applyBorder="1" applyAlignment="1" applyProtection="1">
      <alignment horizontal="center"/>
    </xf>
    <xf numFmtId="0" fontId="45" fillId="0" borderId="107" xfId="0" applyFont="1" applyBorder="1" applyAlignment="1" applyProtection="1">
      <alignment horizontal="left" vertical="top" wrapText="1"/>
    </xf>
    <xf numFmtId="0" fontId="45" fillId="0" borderId="108" xfId="0" applyFont="1" applyBorder="1" applyAlignment="1" applyProtection="1">
      <alignment horizontal="left" vertical="top" wrapText="1"/>
    </xf>
    <xf numFmtId="0" fontId="15" fillId="0" borderId="0" xfId="0" applyFont="1" applyFill="1" applyAlignment="1">
      <alignment horizontal="left"/>
    </xf>
    <xf numFmtId="0" fontId="19" fillId="0" borderId="119" xfId="0" applyFont="1" applyBorder="1" applyAlignment="1" applyProtection="1">
      <alignment horizontal="left" vertical="center" wrapText="1"/>
    </xf>
    <xf numFmtId="0" fontId="19" fillId="0" borderId="108" xfId="0" applyFont="1" applyBorder="1" applyAlignment="1" applyProtection="1">
      <alignment horizontal="left" vertical="center" wrapText="1"/>
    </xf>
    <xf numFmtId="0" fontId="36" fillId="0" borderId="119" xfId="0" applyFont="1" applyBorder="1" applyAlignment="1">
      <alignment horizontal="left"/>
    </xf>
    <xf numFmtId="0" fontId="36" fillId="0" borderId="109" xfId="0" applyFont="1" applyBorder="1" applyAlignment="1">
      <alignment horizontal="left"/>
    </xf>
    <xf numFmtId="0" fontId="36" fillId="0" borderId="108" xfId="0" applyFont="1" applyBorder="1" applyAlignment="1">
      <alignment horizontal="left"/>
    </xf>
    <xf numFmtId="0" fontId="19" fillId="2" borderId="106" xfId="0" applyFont="1" applyFill="1" applyBorder="1" applyAlignment="1" applyProtection="1">
      <alignment horizontal="center" vertical="top" wrapText="1"/>
    </xf>
    <xf numFmtId="43" fontId="36" fillId="2" borderId="106" xfId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36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8" xfId="0" applyFont="1" applyBorder="1" applyAlignment="1">
      <alignment horizontal="right"/>
    </xf>
    <xf numFmtId="0" fontId="36" fillId="0" borderId="3" xfId="0" applyFont="1" applyBorder="1" applyAlignment="1">
      <alignment horizontal="right"/>
    </xf>
    <xf numFmtId="0" fontId="36" fillId="0" borderId="0" xfId="0" applyFont="1" applyBorder="1" applyAlignment="1">
      <alignment horizontal="left" wrapText="1"/>
    </xf>
    <xf numFmtId="0" fontId="36" fillId="0" borderId="5" xfId="0" applyFont="1" applyBorder="1" applyAlignment="1">
      <alignment horizontal="right"/>
    </xf>
    <xf numFmtId="0" fontId="36" fillId="0" borderId="8" xfId="0" applyFont="1" applyBorder="1" applyAlignment="1">
      <alignment horizontal="right"/>
    </xf>
    <xf numFmtId="0" fontId="64" fillId="0" borderId="107" xfId="0" applyFont="1" applyBorder="1" applyAlignment="1">
      <alignment horizontal="center"/>
    </xf>
    <xf numFmtId="0" fontId="64" fillId="0" borderId="109" xfId="0" applyFont="1" applyBorder="1" applyAlignment="1">
      <alignment horizontal="center"/>
    </xf>
    <xf numFmtId="0" fontId="64" fillId="0" borderId="108" xfId="0" applyFont="1" applyBorder="1" applyAlignment="1">
      <alignment horizontal="center"/>
    </xf>
    <xf numFmtId="0" fontId="41" fillId="0" borderId="107" xfId="0" applyFont="1" applyBorder="1" applyAlignment="1">
      <alignment horizontal="left"/>
    </xf>
    <xf numFmtId="0" fontId="41" fillId="0" borderId="108" xfId="0" applyFont="1" applyBorder="1" applyAlignment="1">
      <alignment horizontal="left"/>
    </xf>
    <xf numFmtId="0" fontId="41" fillId="0" borderId="106" xfId="0" applyFont="1" applyBorder="1" applyAlignment="1">
      <alignment horizontal="justify" vertical="center" wrapText="1"/>
    </xf>
    <xf numFmtId="0" fontId="16" fillId="0" borderId="106" xfId="8" applyFont="1" applyBorder="1" applyAlignment="1">
      <alignment horizontal="center"/>
    </xf>
    <xf numFmtId="0" fontId="5" fillId="0" borderId="106" xfId="8" applyFont="1" applyBorder="1" applyAlignment="1">
      <alignment horizontal="center"/>
    </xf>
    <xf numFmtId="0" fontId="41" fillId="0" borderId="106" xfId="0" applyFont="1" applyBorder="1" applyAlignment="1">
      <alignment horizontal="left" vertical="center" wrapText="1"/>
    </xf>
    <xf numFmtId="0" fontId="41" fillId="0" borderId="106" xfId="0" applyFont="1" applyBorder="1" applyAlignment="1">
      <alignment horizontal="justify" vertical="center"/>
    </xf>
    <xf numFmtId="0" fontId="50" fillId="0" borderId="0" xfId="0" applyFont="1" applyBorder="1" applyAlignment="1" applyProtection="1">
      <alignment horizontal="left" vertical="top" wrapText="1"/>
    </xf>
    <xf numFmtId="0" fontId="68" fillId="2" borderId="106" xfId="0" applyFont="1" applyFill="1" applyBorder="1" applyAlignment="1" applyProtection="1">
      <alignment horizontal="left" vertical="center" wrapText="1"/>
    </xf>
    <xf numFmtId="0" fontId="51" fillId="4" borderId="40" xfId="0" applyFont="1" applyFill="1" applyBorder="1" applyAlignment="1" applyProtection="1">
      <alignment horizontal="left" vertical="top" wrapText="1"/>
    </xf>
    <xf numFmtId="0" fontId="44" fillId="0" borderId="0" xfId="0" applyFont="1" applyAlignment="1" applyProtection="1">
      <alignment horizontal="center"/>
    </xf>
    <xf numFmtId="0" fontId="44" fillId="0" borderId="0" xfId="0" applyFont="1" applyBorder="1" applyAlignment="1" applyProtection="1">
      <alignment horizontal="center" vertical="center"/>
    </xf>
    <xf numFmtId="44" fontId="45" fillId="2" borderId="106" xfId="9" applyFont="1" applyFill="1" applyBorder="1" applyAlignment="1" applyProtection="1">
      <alignment horizontal="center" vertical="top" wrapText="1"/>
      <protection locked="0"/>
    </xf>
    <xf numFmtId="0" fontId="44" fillId="2" borderId="106" xfId="0" applyFont="1" applyFill="1" applyBorder="1" applyAlignment="1" applyProtection="1">
      <alignment horizontal="center" vertical="center" wrapText="1"/>
    </xf>
    <xf numFmtId="0" fontId="50" fillId="0" borderId="29" xfId="0" applyFont="1" applyBorder="1" applyAlignment="1" applyProtection="1">
      <alignment horizontal="left" vertical="top" wrapText="1"/>
    </xf>
    <xf numFmtId="14" fontId="45" fillId="2" borderId="106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106" xfId="0" applyFont="1" applyFill="1" applyBorder="1" applyAlignment="1" applyProtection="1">
      <alignment horizontal="center" vertical="center" wrapText="1"/>
      <protection locked="0"/>
    </xf>
    <xf numFmtId="0" fontId="44" fillId="5" borderId="106" xfId="0" applyFont="1" applyFill="1" applyBorder="1" applyAlignment="1" applyProtection="1">
      <alignment horizontal="center" vertical="center"/>
    </xf>
    <xf numFmtId="0" fontId="45" fillId="2" borderId="106" xfId="0" applyFont="1" applyFill="1" applyBorder="1" applyAlignment="1" applyProtection="1">
      <alignment horizontal="center" vertical="center" wrapText="1"/>
    </xf>
    <xf numFmtId="0" fontId="45" fillId="2" borderId="107" xfId="0" applyFont="1" applyFill="1" applyBorder="1" applyAlignment="1" applyProtection="1">
      <alignment horizontal="center" vertical="center"/>
    </xf>
    <xf numFmtId="0" fontId="45" fillId="2" borderId="109" xfId="0" applyFont="1" applyFill="1" applyBorder="1" applyAlignment="1" applyProtection="1">
      <alignment horizontal="center" vertical="center"/>
    </xf>
    <xf numFmtId="0" fontId="45" fillId="2" borderId="108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0" fillId="0" borderId="36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1" fillId="4" borderId="29" xfId="0" applyFont="1" applyFill="1" applyBorder="1" applyAlignment="1" applyProtection="1">
      <alignment horizontal="left"/>
    </xf>
    <xf numFmtId="0" fontId="60" fillId="0" borderId="107" xfId="0" applyFont="1" applyBorder="1" applyAlignment="1">
      <alignment horizontal="center"/>
    </xf>
    <xf numFmtId="0" fontId="60" fillId="0" borderId="109" xfId="0" applyFont="1" applyBorder="1" applyAlignment="1">
      <alignment horizontal="center"/>
    </xf>
    <xf numFmtId="0" fontId="60" fillId="0" borderId="108" xfId="0" applyFont="1" applyBorder="1" applyAlignment="1">
      <alignment horizontal="center"/>
    </xf>
    <xf numFmtId="0" fontId="60" fillId="0" borderId="10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center"/>
    </xf>
    <xf numFmtId="0" fontId="36" fillId="0" borderId="7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5" fillId="0" borderId="26" xfId="5" applyFont="1" applyBorder="1" applyAlignment="1">
      <alignment horizontal="center" vertical="center"/>
    </xf>
    <xf numFmtId="0" fontId="4" fillId="0" borderId="105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9" xfId="5" applyFont="1" applyBorder="1" applyAlignment="1">
      <alignment horizontal="right" vertical="center"/>
    </xf>
    <xf numFmtId="0" fontId="15" fillId="0" borderId="7" xfId="5" applyFont="1" applyBorder="1" applyAlignment="1">
      <alignment horizontal="center" vertical="center"/>
    </xf>
    <xf numFmtId="0" fontId="15" fillId="0" borderId="46" xfId="5" applyFont="1" applyBorder="1" applyAlignment="1">
      <alignment horizontal="center" vertical="center"/>
    </xf>
    <xf numFmtId="0" fontId="23" fillId="0" borderId="29" xfId="5" applyFont="1" applyBorder="1" applyAlignment="1">
      <alignment horizontal="center" vertical="center"/>
    </xf>
    <xf numFmtId="0" fontId="23" fillId="0" borderId="25" xfId="5" applyFont="1" applyBorder="1" applyAlignment="1">
      <alignment horizontal="center" vertical="center"/>
    </xf>
    <xf numFmtId="0" fontId="4" fillId="0" borderId="71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72" xfId="5" applyFont="1" applyBorder="1" applyAlignment="1">
      <alignment horizontal="center" vertical="center"/>
    </xf>
    <xf numFmtId="0" fontId="23" fillId="0" borderId="74" xfId="5" applyFont="1" applyBorder="1" applyAlignment="1">
      <alignment horizontal="center" vertical="center"/>
    </xf>
    <xf numFmtId="0" fontId="23" fillId="0" borderId="40" xfId="5" applyFont="1" applyBorder="1" applyAlignment="1">
      <alignment horizontal="center" vertical="center"/>
    </xf>
    <xf numFmtId="0" fontId="23" fillId="0" borderId="75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45" fillId="0" borderId="41" xfId="0" applyFont="1" applyBorder="1" applyAlignment="1" applyProtection="1">
      <alignment horizontal="left" vertical="center" wrapText="1"/>
    </xf>
    <xf numFmtId="0" fontId="5" fillId="0" borderId="49" xfId="5" applyFont="1" applyBorder="1" applyAlignment="1">
      <alignment horizontal="center" vertical="center"/>
    </xf>
    <xf numFmtId="0" fontId="5" fillId="0" borderId="29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6" fillId="0" borderId="46" xfId="5" applyFont="1" applyBorder="1" applyAlignment="1">
      <alignment horizontal="center" vertical="center"/>
    </xf>
    <xf numFmtId="0" fontId="5" fillId="0" borderId="0" xfId="5" applyFont="1" applyAlignment="1">
      <alignment horizontal="left" vertical="center" wrapText="1"/>
    </xf>
    <xf numFmtId="0" fontId="4" fillId="0" borderId="57" xfId="5" applyFont="1" applyBorder="1" applyAlignment="1">
      <alignment horizontal="left" vertical="center"/>
    </xf>
    <xf numFmtId="0" fontId="4" fillId="0" borderId="58" xfId="5" applyFont="1" applyBorder="1" applyAlignment="1">
      <alignment horizontal="left" vertical="center"/>
    </xf>
    <xf numFmtId="0" fontId="4" fillId="0" borderId="59" xfId="5" applyFont="1" applyBorder="1" applyAlignment="1">
      <alignment horizontal="left" vertical="center"/>
    </xf>
    <xf numFmtId="0" fontId="4" fillId="0" borderId="71" xfId="5" applyFont="1" applyBorder="1" applyAlignment="1">
      <alignment horizontal="right" vertical="center"/>
    </xf>
    <xf numFmtId="0" fontId="4" fillId="0" borderId="28" xfId="5" applyFont="1" applyBorder="1" applyAlignment="1">
      <alignment horizontal="right" vertical="center"/>
    </xf>
    <xf numFmtId="0" fontId="4" fillId="0" borderId="72" xfId="5" applyFont="1" applyBorder="1" applyAlignment="1">
      <alignment horizontal="right" vertical="center"/>
    </xf>
    <xf numFmtId="170" fontId="4" fillId="0" borderId="7" xfId="6" applyNumberFormat="1" applyFont="1" applyBorder="1" applyAlignment="1">
      <alignment horizontal="center" vertical="center"/>
    </xf>
    <xf numFmtId="170" fontId="4" fillId="0" borderId="20" xfId="6" applyNumberFormat="1" applyFont="1" applyBorder="1" applyAlignment="1">
      <alignment horizontal="center" vertical="center"/>
    </xf>
    <xf numFmtId="0" fontId="4" fillId="0" borderId="110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4" fillId="0" borderId="11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16" fillId="0" borderId="77" xfId="5" applyFont="1" applyBorder="1" applyAlignment="1">
      <alignment horizontal="center" vertical="center"/>
    </xf>
    <xf numFmtId="0" fontId="4" fillId="0" borderId="113" xfId="5" applyFont="1" applyBorder="1" applyAlignment="1">
      <alignment horizontal="center" vertical="center" wrapText="1"/>
    </xf>
    <xf numFmtId="0" fontId="4" fillId="0" borderId="114" xfId="5" applyFont="1" applyBorder="1" applyAlignment="1">
      <alignment horizontal="center" vertical="center" wrapText="1"/>
    </xf>
    <xf numFmtId="0" fontId="4" fillId="0" borderId="115" xfId="5" applyFont="1" applyBorder="1" applyAlignment="1">
      <alignment horizontal="center" vertical="center" wrapText="1"/>
    </xf>
  </cellXfs>
  <cellStyles count="11">
    <cellStyle name="Moeda" xfId="9" builtinId="4"/>
    <cellStyle name="Normal" xfId="0" builtinId="0"/>
    <cellStyle name="Normal 2" xfId="3"/>
    <cellStyle name="Normal 2 2" xfId="10"/>
    <cellStyle name="Normal_Indústria LEV- Preços" xfId="5"/>
    <cellStyle name="Normal_P2-Exemplo Varrição Manual - Sarj" xfId="8"/>
    <cellStyle name="Porcentagem" xfId="2" builtinId="5"/>
    <cellStyle name="Porcentagem 2" xfId="4"/>
    <cellStyle name="Separador de milhares_Indústria LEV- Preços" xfId="6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quipamentos!A1"/><Relationship Id="rId3" Type="http://schemas.openxmlformats.org/officeDocument/2006/relationships/hyperlink" Target="#'M&#227;o de obra'!A1"/><Relationship Id="rId7" Type="http://schemas.openxmlformats.org/officeDocument/2006/relationships/hyperlink" Target="#PV!A1"/><Relationship Id="rId2" Type="http://schemas.openxmlformats.org/officeDocument/2006/relationships/hyperlink" Target="#Dimensionamento!A1"/><Relationship Id="rId1" Type="http://schemas.openxmlformats.org/officeDocument/2006/relationships/hyperlink" Target="#'Identifica&#231;&#227;o do servi&#231;o'!A1"/><Relationship Id="rId6" Type="http://schemas.openxmlformats.org/officeDocument/2006/relationships/hyperlink" Target="#'Despesas Indiretas'!A1"/><Relationship Id="rId5" Type="http://schemas.openxmlformats.org/officeDocument/2006/relationships/hyperlink" Target="#EPI!A1"/><Relationship Id="rId4" Type="http://schemas.openxmlformats.org/officeDocument/2006/relationships/hyperlink" Target="#'Encargos Sociais'!A1"/><Relationship Id="rId9" Type="http://schemas.openxmlformats.org/officeDocument/2006/relationships/hyperlink" Target="#Materia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5</xdr:row>
      <xdr:rowOff>0</xdr:rowOff>
    </xdr:from>
    <xdr:to>
      <xdr:col>3</xdr:col>
      <xdr:colOff>205740</xdr:colOff>
      <xdr:row>7</xdr:row>
      <xdr:rowOff>161925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3812" y="1257300"/>
          <a:ext cx="1416368" cy="51244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IDENTIFICAÇÃO</a:t>
          </a:r>
        </a:p>
      </xdr:txBody>
    </xdr:sp>
    <xdr:clientData/>
  </xdr:twoCellAnchor>
  <xdr:twoCellAnchor>
    <xdr:from>
      <xdr:col>1</xdr:col>
      <xdr:colOff>23812</xdr:colOff>
      <xdr:row>9</xdr:row>
      <xdr:rowOff>38100</xdr:rowOff>
    </xdr:from>
    <xdr:to>
      <xdr:col>3</xdr:col>
      <xdr:colOff>198120</xdr:colOff>
      <xdr:row>12</xdr:row>
      <xdr:rowOff>19050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3812" y="1996440"/>
          <a:ext cx="1408748" cy="50673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  <a:endParaRPr lang="pt-BR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76200</xdr:colOff>
      <xdr:row>17</xdr:row>
      <xdr:rowOff>171450</xdr:rowOff>
    </xdr:from>
    <xdr:to>
      <xdr:col>4</xdr:col>
      <xdr:colOff>47625</xdr:colOff>
      <xdr:row>21</xdr:row>
      <xdr:rowOff>167640</xdr:rowOff>
    </xdr:to>
    <xdr:sp macro="" textlink="">
      <xdr:nvSpPr>
        <xdr:cNvPr id="19" name="Retângulo de cantos arredondados 1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76200" y="3609975"/>
          <a:ext cx="1666875" cy="72009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1</xdr:col>
      <xdr:colOff>19050</xdr:colOff>
      <xdr:row>13</xdr:row>
      <xdr:rowOff>142875</xdr:rowOff>
    </xdr:from>
    <xdr:to>
      <xdr:col>4</xdr:col>
      <xdr:colOff>38100</xdr:colOff>
      <xdr:row>16</xdr:row>
      <xdr:rowOff>123825</xdr:rowOff>
    </xdr:to>
    <xdr:sp macro="" textlink="">
      <xdr:nvSpPr>
        <xdr:cNvPr id="24" name="Retângulo de cantos arredondados 23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19050" y="2857500"/>
          <a:ext cx="1714500" cy="5238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0</xdr:col>
      <xdr:colOff>0</xdr:colOff>
      <xdr:row>23</xdr:row>
      <xdr:rowOff>123825</xdr:rowOff>
    </xdr:from>
    <xdr:to>
      <xdr:col>4</xdr:col>
      <xdr:colOff>19050</xdr:colOff>
      <xdr:row>28</xdr:row>
      <xdr:rowOff>85725</xdr:rowOff>
    </xdr:to>
    <xdr:sp macro="" textlink="">
      <xdr:nvSpPr>
        <xdr:cNvPr id="25" name="Retângulo de cantos arredondados 2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4648200"/>
          <a:ext cx="1714500" cy="8667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4</xdr:col>
      <xdr:colOff>485775</xdr:colOff>
      <xdr:row>5</xdr:row>
      <xdr:rowOff>116205</xdr:rowOff>
    </xdr:from>
    <xdr:to>
      <xdr:col>8</xdr:col>
      <xdr:colOff>88582</xdr:colOff>
      <xdr:row>9</xdr:row>
      <xdr:rowOff>68580</xdr:rowOff>
    </xdr:to>
    <xdr:sp macro="" textlink="">
      <xdr:nvSpPr>
        <xdr:cNvPr id="27" name="Retângulo de cantos arredondados 2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2181225" y="1383030"/>
          <a:ext cx="1717357" cy="6762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4</xdr:col>
      <xdr:colOff>474345</xdr:colOff>
      <xdr:row>21</xdr:row>
      <xdr:rowOff>99060</xdr:rowOff>
    </xdr:from>
    <xdr:to>
      <xdr:col>8</xdr:col>
      <xdr:colOff>94297</xdr:colOff>
      <xdr:row>26</xdr:row>
      <xdr:rowOff>173355</xdr:rowOff>
    </xdr:to>
    <xdr:sp macro="" textlink="">
      <xdr:nvSpPr>
        <xdr:cNvPr id="28" name="Retângulo de cantos arredondados 2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2169795" y="4261485"/>
          <a:ext cx="1734502" cy="979170"/>
        </a:xfrm>
        <a:prstGeom prst="roundRect">
          <a:avLst>
            <a:gd name="adj" fmla="val 2586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4</xdr:col>
      <xdr:colOff>443865</xdr:colOff>
      <xdr:row>16</xdr:row>
      <xdr:rowOff>68580</xdr:rowOff>
    </xdr:from>
    <xdr:to>
      <xdr:col>8</xdr:col>
      <xdr:colOff>68579</xdr:colOff>
      <xdr:row>20</xdr:row>
      <xdr:rowOff>22860</xdr:rowOff>
    </xdr:to>
    <xdr:sp macro="" textlink="">
      <xdr:nvSpPr>
        <xdr:cNvPr id="33" name="Retângulo de cantos arredondados 3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2139315" y="3326130"/>
          <a:ext cx="1739264" cy="678180"/>
        </a:xfrm>
        <a:prstGeom prst="roundRect">
          <a:avLst>
            <a:gd name="adj" fmla="val 25898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EQUIPAMENTOS</a:t>
          </a:r>
        </a:p>
      </xdr:txBody>
    </xdr:sp>
    <xdr:clientData/>
  </xdr:twoCellAnchor>
  <xdr:twoCellAnchor>
    <xdr:from>
      <xdr:col>4</xdr:col>
      <xdr:colOff>523875</xdr:colOff>
      <xdr:row>11</xdr:row>
      <xdr:rowOff>152400</xdr:rowOff>
    </xdr:from>
    <xdr:to>
      <xdr:col>8</xdr:col>
      <xdr:colOff>123825</xdr:colOff>
      <xdr:row>14</xdr:row>
      <xdr:rowOff>133350</xdr:rowOff>
    </xdr:to>
    <xdr:sp macro="" textlink="">
      <xdr:nvSpPr>
        <xdr:cNvPr id="18" name="Retângulo de cantos arredondados 17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219325" y="2505075"/>
          <a:ext cx="1714500" cy="5238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29</xdr:row>
      <xdr:rowOff>104775</xdr:rowOff>
    </xdr:from>
    <xdr:to>
      <xdr:col>7</xdr:col>
      <xdr:colOff>781050</xdr:colOff>
      <xdr:row>29</xdr:row>
      <xdr:rowOff>104775</xdr:rowOff>
    </xdr:to>
    <xdr:cxnSp macro="">
      <xdr:nvCxnSpPr>
        <xdr:cNvPr id="3" name="Conector de seta reta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CxnSpPr/>
      </xdr:nvCxnSpPr>
      <xdr:spPr>
        <a:xfrm flipH="1">
          <a:off x="5562600" y="5476875"/>
          <a:ext cx="723900" cy="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DE%20CUSTOS%20INSEMINA&#199;&#195;O%20ARTI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- Identificação do serviço"/>
      <sheetName val="2-Dimensionamento"/>
      <sheetName val="3-Mão de obra"/>
      <sheetName val="4- Combustivél"/>
      <sheetName val="5-Encargos Sociais"/>
      <sheetName val="6-EPI"/>
      <sheetName val="7-Despesas Indiretas"/>
      <sheetName val="8-PV"/>
    </sheetNames>
    <sheetDataSet>
      <sheetData sheetId="0">
        <row r="1">
          <cell r="B1" t="str">
            <v>SERVIÇO DE INSEMINAÇÃO ARTIFICIAL (IA) EM BOVINOS LEITEIROS</v>
          </cell>
        </row>
      </sheetData>
      <sheetData sheetId="1"/>
      <sheetData sheetId="2">
        <row r="15">
          <cell r="I15"/>
          <cell r="M15"/>
        </row>
      </sheetData>
      <sheetData sheetId="3"/>
      <sheetData sheetId="4"/>
      <sheetData sheetId="5">
        <row r="41">
          <cell r="D41">
            <v>0.69110000000000005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showGridLines="0" topLeftCell="B1" zoomScaleNormal="100" workbookViewId="0">
      <selection activeCell="B1" sqref="B1:L1"/>
    </sheetView>
  </sheetViews>
  <sheetFormatPr defaultColWidth="8.796875" defaultRowHeight="14.25"/>
  <cols>
    <col min="1" max="1" width="8.796875" style="211" hidden="1" customWidth="1"/>
    <col min="2" max="2" width="7.5" style="211" customWidth="1"/>
    <col min="3" max="3" width="7.296875" style="211" customWidth="1"/>
    <col min="4" max="4" width="3" style="211" customWidth="1"/>
    <col min="5" max="5" width="7.296875" style="211" customWidth="1"/>
    <col min="6" max="6" width="5.296875" style="211" customWidth="1"/>
    <col min="7" max="7" width="2.8984375" style="211" customWidth="1"/>
    <col min="8" max="8" width="6.69921875" style="211" customWidth="1"/>
    <col min="9" max="9" width="6.796875" style="211" customWidth="1"/>
    <col min="10" max="10" width="0.5" style="211" customWidth="1"/>
    <col min="11" max="11" width="7.5" style="211" customWidth="1"/>
    <col min="12" max="12" width="10.19921875" style="211" customWidth="1"/>
    <col min="13" max="16384" width="8.796875" style="211"/>
  </cols>
  <sheetData>
    <row r="1" spans="2:14" ht="36.6" customHeight="1">
      <c r="B1" s="401" t="s">
        <v>93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2:14" ht="13.9" customHeight="1">
      <c r="B2" s="365" t="s">
        <v>174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2:14" ht="18">
      <c r="B3" s="212"/>
    </row>
    <row r="4" spans="2:14" ht="18">
      <c r="B4" s="213" t="s">
        <v>65</v>
      </c>
    </row>
    <row r="25" spans="12:12"/>
  </sheetData>
  <mergeCells count="1">
    <mergeCell ref="B1:L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showGridLines="0" tabSelected="1" view="pageBreakPreview" topLeftCell="A16" zoomScaleNormal="100" zoomScaleSheetLayoutView="100" workbookViewId="0">
      <selection activeCell="F39" sqref="F39"/>
    </sheetView>
  </sheetViews>
  <sheetFormatPr defaultColWidth="7.19921875" defaultRowHeight="12.75"/>
  <cols>
    <col min="1" max="1" width="1.59765625" style="55" customWidth="1"/>
    <col min="2" max="2" width="2.09765625" style="55" customWidth="1"/>
    <col min="3" max="3" width="17.3984375" style="55" customWidth="1"/>
    <col min="4" max="4" width="7.19921875" style="55" customWidth="1"/>
    <col min="5" max="5" width="10.69921875" style="55" customWidth="1"/>
    <col min="6" max="6" width="12.09765625" style="55" customWidth="1"/>
    <col min="7" max="7" width="12" style="55" customWidth="1"/>
    <col min="8" max="8" width="16" style="55" customWidth="1"/>
    <col min="9" max="9" width="7.796875" style="55" customWidth="1"/>
    <col min="10" max="10" width="1.8984375" style="55" customWidth="1"/>
    <col min="11" max="256" width="7.19921875" style="55"/>
    <col min="257" max="257" width="1.59765625" style="55" customWidth="1"/>
    <col min="258" max="258" width="2.09765625" style="55" customWidth="1"/>
    <col min="259" max="259" width="17.3984375" style="55" customWidth="1"/>
    <col min="260" max="260" width="7.19921875" style="55" customWidth="1"/>
    <col min="261" max="261" width="10.69921875" style="55" customWidth="1"/>
    <col min="262" max="262" width="11.09765625" style="55" customWidth="1"/>
    <col min="263" max="263" width="7.69921875" style="55" customWidth="1"/>
    <col min="264" max="264" width="9" style="55" bestFit="1" customWidth="1"/>
    <col min="265" max="265" width="9.59765625" style="55" bestFit="1" customWidth="1"/>
    <col min="266" max="266" width="1.8984375" style="55" customWidth="1"/>
    <col min="267" max="512" width="7.19921875" style="55"/>
    <col min="513" max="513" width="1.59765625" style="55" customWidth="1"/>
    <col min="514" max="514" width="2.09765625" style="55" customWidth="1"/>
    <col min="515" max="515" width="17.3984375" style="55" customWidth="1"/>
    <col min="516" max="516" width="7.19921875" style="55" customWidth="1"/>
    <col min="517" max="517" width="10.69921875" style="55" customWidth="1"/>
    <col min="518" max="518" width="11.09765625" style="55" customWidth="1"/>
    <col min="519" max="519" width="7.69921875" style="55" customWidth="1"/>
    <col min="520" max="520" width="9" style="55" bestFit="1" customWidth="1"/>
    <col min="521" max="521" width="9.59765625" style="55" bestFit="1" customWidth="1"/>
    <col min="522" max="522" width="1.8984375" style="55" customWidth="1"/>
    <col min="523" max="768" width="7.19921875" style="55"/>
    <col min="769" max="769" width="1.59765625" style="55" customWidth="1"/>
    <col min="770" max="770" width="2.09765625" style="55" customWidth="1"/>
    <col min="771" max="771" width="17.3984375" style="55" customWidth="1"/>
    <col min="772" max="772" width="7.19921875" style="55" customWidth="1"/>
    <col min="773" max="773" width="10.69921875" style="55" customWidth="1"/>
    <col min="774" max="774" width="11.09765625" style="55" customWidth="1"/>
    <col min="775" max="775" width="7.69921875" style="55" customWidth="1"/>
    <col min="776" max="776" width="9" style="55" bestFit="1" customWidth="1"/>
    <col min="777" max="777" width="9.59765625" style="55" bestFit="1" customWidth="1"/>
    <col min="778" max="778" width="1.8984375" style="55" customWidth="1"/>
    <col min="779" max="1024" width="7.19921875" style="55"/>
    <col min="1025" max="1025" width="1.59765625" style="55" customWidth="1"/>
    <col min="1026" max="1026" width="2.09765625" style="55" customWidth="1"/>
    <col min="1027" max="1027" width="17.3984375" style="55" customWidth="1"/>
    <col min="1028" max="1028" width="7.19921875" style="55" customWidth="1"/>
    <col min="1029" max="1029" width="10.69921875" style="55" customWidth="1"/>
    <col min="1030" max="1030" width="11.09765625" style="55" customWidth="1"/>
    <col min="1031" max="1031" width="7.69921875" style="55" customWidth="1"/>
    <col min="1032" max="1032" width="9" style="55" bestFit="1" customWidth="1"/>
    <col min="1033" max="1033" width="9.59765625" style="55" bestFit="1" customWidth="1"/>
    <col min="1034" max="1034" width="1.8984375" style="55" customWidth="1"/>
    <col min="1035" max="1280" width="7.19921875" style="55"/>
    <col min="1281" max="1281" width="1.59765625" style="55" customWidth="1"/>
    <col min="1282" max="1282" width="2.09765625" style="55" customWidth="1"/>
    <col min="1283" max="1283" width="17.3984375" style="55" customWidth="1"/>
    <col min="1284" max="1284" width="7.19921875" style="55" customWidth="1"/>
    <col min="1285" max="1285" width="10.69921875" style="55" customWidth="1"/>
    <col min="1286" max="1286" width="11.09765625" style="55" customWidth="1"/>
    <col min="1287" max="1287" width="7.69921875" style="55" customWidth="1"/>
    <col min="1288" max="1288" width="9" style="55" bestFit="1" customWidth="1"/>
    <col min="1289" max="1289" width="9.59765625" style="55" bestFit="1" customWidth="1"/>
    <col min="1290" max="1290" width="1.8984375" style="55" customWidth="1"/>
    <col min="1291" max="1536" width="7.19921875" style="55"/>
    <col min="1537" max="1537" width="1.59765625" style="55" customWidth="1"/>
    <col min="1538" max="1538" width="2.09765625" style="55" customWidth="1"/>
    <col min="1539" max="1539" width="17.3984375" style="55" customWidth="1"/>
    <col min="1540" max="1540" width="7.19921875" style="55" customWidth="1"/>
    <col min="1541" max="1541" width="10.69921875" style="55" customWidth="1"/>
    <col min="1542" max="1542" width="11.09765625" style="55" customWidth="1"/>
    <col min="1543" max="1543" width="7.69921875" style="55" customWidth="1"/>
    <col min="1544" max="1544" width="9" style="55" bestFit="1" customWidth="1"/>
    <col min="1545" max="1545" width="9.59765625" style="55" bestFit="1" customWidth="1"/>
    <col min="1546" max="1546" width="1.8984375" style="55" customWidth="1"/>
    <col min="1547" max="1792" width="7.19921875" style="55"/>
    <col min="1793" max="1793" width="1.59765625" style="55" customWidth="1"/>
    <col min="1794" max="1794" width="2.09765625" style="55" customWidth="1"/>
    <col min="1795" max="1795" width="17.3984375" style="55" customWidth="1"/>
    <col min="1796" max="1796" width="7.19921875" style="55" customWidth="1"/>
    <col min="1797" max="1797" width="10.69921875" style="55" customWidth="1"/>
    <col min="1798" max="1798" width="11.09765625" style="55" customWidth="1"/>
    <col min="1799" max="1799" width="7.69921875" style="55" customWidth="1"/>
    <col min="1800" max="1800" width="9" style="55" bestFit="1" customWidth="1"/>
    <col min="1801" max="1801" width="9.59765625" style="55" bestFit="1" customWidth="1"/>
    <col min="1802" max="1802" width="1.8984375" style="55" customWidth="1"/>
    <col min="1803" max="2048" width="7.19921875" style="55"/>
    <col min="2049" max="2049" width="1.59765625" style="55" customWidth="1"/>
    <col min="2050" max="2050" width="2.09765625" style="55" customWidth="1"/>
    <col min="2051" max="2051" width="17.3984375" style="55" customWidth="1"/>
    <col min="2052" max="2052" width="7.19921875" style="55" customWidth="1"/>
    <col min="2053" max="2053" width="10.69921875" style="55" customWidth="1"/>
    <col min="2054" max="2054" width="11.09765625" style="55" customWidth="1"/>
    <col min="2055" max="2055" width="7.69921875" style="55" customWidth="1"/>
    <col min="2056" max="2056" width="9" style="55" bestFit="1" customWidth="1"/>
    <col min="2057" max="2057" width="9.59765625" style="55" bestFit="1" customWidth="1"/>
    <col min="2058" max="2058" width="1.8984375" style="55" customWidth="1"/>
    <col min="2059" max="2304" width="7.19921875" style="55"/>
    <col min="2305" max="2305" width="1.59765625" style="55" customWidth="1"/>
    <col min="2306" max="2306" width="2.09765625" style="55" customWidth="1"/>
    <col min="2307" max="2307" width="17.3984375" style="55" customWidth="1"/>
    <col min="2308" max="2308" width="7.19921875" style="55" customWidth="1"/>
    <col min="2309" max="2309" width="10.69921875" style="55" customWidth="1"/>
    <col min="2310" max="2310" width="11.09765625" style="55" customWidth="1"/>
    <col min="2311" max="2311" width="7.69921875" style="55" customWidth="1"/>
    <col min="2312" max="2312" width="9" style="55" bestFit="1" customWidth="1"/>
    <col min="2313" max="2313" width="9.59765625" style="55" bestFit="1" customWidth="1"/>
    <col min="2314" max="2314" width="1.8984375" style="55" customWidth="1"/>
    <col min="2315" max="2560" width="7.19921875" style="55"/>
    <col min="2561" max="2561" width="1.59765625" style="55" customWidth="1"/>
    <col min="2562" max="2562" width="2.09765625" style="55" customWidth="1"/>
    <col min="2563" max="2563" width="17.3984375" style="55" customWidth="1"/>
    <col min="2564" max="2564" width="7.19921875" style="55" customWidth="1"/>
    <col min="2565" max="2565" width="10.69921875" style="55" customWidth="1"/>
    <col min="2566" max="2566" width="11.09765625" style="55" customWidth="1"/>
    <col min="2567" max="2567" width="7.69921875" style="55" customWidth="1"/>
    <col min="2568" max="2568" width="9" style="55" bestFit="1" customWidth="1"/>
    <col min="2569" max="2569" width="9.59765625" style="55" bestFit="1" customWidth="1"/>
    <col min="2570" max="2570" width="1.8984375" style="55" customWidth="1"/>
    <col min="2571" max="2816" width="7.19921875" style="55"/>
    <col min="2817" max="2817" width="1.59765625" style="55" customWidth="1"/>
    <col min="2818" max="2818" width="2.09765625" style="55" customWidth="1"/>
    <col min="2819" max="2819" width="17.3984375" style="55" customWidth="1"/>
    <col min="2820" max="2820" width="7.19921875" style="55" customWidth="1"/>
    <col min="2821" max="2821" width="10.69921875" style="55" customWidth="1"/>
    <col min="2822" max="2822" width="11.09765625" style="55" customWidth="1"/>
    <col min="2823" max="2823" width="7.69921875" style="55" customWidth="1"/>
    <col min="2824" max="2824" width="9" style="55" bestFit="1" customWidth="1"/>
    <col min="2825" max="2825" width="9.59765625" style="55" bestFit="1" customWidth="1"/>
    <col min="2826" max="2826" width="1.8984375" style="55" customWidth="1"/>
    <col min="2827" max="3072" width="7.19921875" style="55"/>
    <col min="3073" max="3073" width="1.59765625" style="55" customWidth="1"/>
    <col min="3074" max="3074" width="2.09765625" style="55" customWidth="1"/>
    <col min="3075" max="3075" width="17.3984375" style="55" customWidth="1"/>
    <col min="3076" max="3076" width="7.19921875" style="55" customWidth="1"/>
    <col min="3077" max="3077" width="10.69921875" style="55" customWidth="1"/>
    <col min="3078" max="3078" width="11.09765625" style="55" customWidth="1"/>
    <col min="3079" max="3079" width="7.69921875" style="55" customWidth="1"/>
    <col min="3080" max="3080" width="9" style="55" bestFit="1" customWidth="1"/>
    <col min="3081" max="3081" width="9.59765625" style="55" bestFit="1" customWidth="1"/>
    <col min="3082" max="3082" width="1.8984375" style="55" customWidth="1"/>
    <col min="3083" max="3328" width="7.19921875" style="55"/>
    <col min="3329" max="3329" width="1.59765625" style="55" customWidth="1"/>
    <col min="3330" max="3330" width="2.09765625" style="55" customWidth="1"/>
    <col min="3331" max="3331" width="17.3984375" style="55" customWidth="1"/>
    <col min="3332" max="3332" width="7.19921875" style="55" customWidth="1"/>
    <col min="3333" max="3333" width="10.69921875" style="55" customWidth="1"/>
    <col min="3334" max="3334" width="11.09765625" style="55" customWidth="1"/>
    <col min="3335" max="3335" width="7.69921875" style="55" customWidth="1"/>
    <col min="3336" max="3336" width="9" style="55" bestFit="1" customWidth="1"/>
    <col min="3337" max="3337" width="9.59765625" style="55" bestFit="1" customWidth="1"/>
    <col min="3338" max="3338" width="1.8984375" style="55" customWidth="1"/>
    <col min="3339" max="3584" width="7.19921875" style="55"/>
    <col min="3585" max="3585" width="1.59765625" style="55" customWidth="1"/>
    <col min="3586" max="3586" width="2.09765625" style="55" customWidth="1"/>
    <col min="3587" max="3587" width="17.3984375" style="55" customWidth="1"/>
    <col min="3588" max="3588" width="7.19921875" style="55" customWidth="1"/>
    <col min="3589" max="3589" width="10.69921875" style="55" customWidth="1"/>
    <col min="3590" max="3590" width="11.09765625" style="55" customWidth="1"/>
    <col min="3591" max="3591" width="7.69921875" style="55" customWidth="1"/>
    <col min="3592" max="3592" width="9" style="55" bestFit="1" customWidth="1"/>
    <col min="3593" max="3593" width="9.59765625" style="55" bestFit="1" customWidth="1"/>
    <col min="3594" max="3594" width="1.8984375" style="55" customWidth="1"/>
    <col min="3595" max="3840" width="7.19921875" style="55"/>
    <col min="3841" max="3841" width="1.59765625" style="55" customWidth="1"/>
    <col min="3842" max="3842" width="2.09765625" style="55" customWidth="1"/>
    <col min="3843" max="3843" width="17.3984375" style="55" customWidth="1"/>
    <col min="3844" max="3844" width="7.19921875" style="55" customWidth="1"/>
    <col min="3845" max="3845" width="10.69921875" style="55" customWidth="1"/>
    <col min="3846" max="3846" width="11.09765625" style="55" customWidth="1"/>
    <col min="3847" max="3847" width="7.69921875" style="55" customWidth="1"/>
    <col min="3848" max="3848" width="9" style="55" bestFit="1" customWidth="1"/>
    <col min="3849" max="3849" width="9.59765625" style="55" bestFit="1" customWidth="1"/>
    <col min="3850" max="3850" width="1.8984375" style="55" customWidth="1"/>
    <col min="3851" max="4096" width="7.19921875" style="55"/>
    <col min="4097" max="4097" width="1.59765625" style="55" customWidth="1"/>
    <col min="4098" max="4098" width="2.09765625" style="55" customWidth="1"/>
    <col min="4099" max="4099" width="17.3984375" style="55" customWidth="1"/>
    <col min="4100" max="4100" width="7.19921875" style="55" customWidth="1"/>
    <col min="4101" max="4101" width="10.69921875" style="55" customWidth="1"/>
    <col min="4102" max="4102" width="11.09765625" style="55" customWidth="1"/>
    <col min="4103" max="4103" width="7.69921875" style="55" customWidth="1"/>
    <col min="4104" max="4104" width="9" style="55" bestFit="1" customWidth="1"/>
    <col min="4105" max="4105" width="9.59765625" style="55" bestFit="1" customWidth="1"/>
    <col min="4106" max="4106" width="1.8984375" style="55" customWidth="1"/>
    <col min="4107" max="4352" width="7.19921875" style="55"/>
    <col min="4353" max="4353" width="1.59765625" style="55" customWidth="1"/>
    <col min="4354" max="4354" width="2.09765625" style="55" customWidth="1"/>
    <col min="4355" max="4355" width="17.3984375" style="55" customWidth="1"/>
    <col min="4356" max="4356" width="7.19921875" style="55" customWidth="1"/>
    <col min="4357" max="4357" width="10.69921875" style="55" customWidth="1"/>
    <col min="4358" max="4358" width="11.09765625" style="55" customWidth="1"/>
    <col min="4359" max="4359" width="7.69921875" style="55" customWidth="1"/>
    <col min="4360" max="4360" width="9" style="55" bestFit="1" customWidth="1"/>
    <col min="4361" max="4361" width="9.59765625" style="55" bestFit="1" customWidth="1"/>
    <col min="4362" max="4362" width="1.8984375" style="55" customWidth="1"/>
    <col min="4363" max="4608" width="7.19921875" style="55"/>
    <col min="4609" max="4609" width="1.59765625" style="55" customWidth="1"/>
    <col min="4610" max="4610" width="2.09765625" style="55" customWidth="1"/>
    <col min="4611" max="4611" width="17.3984375" style="55" customWidth="1"/>
    <col min="4612" max="4612" width="7.19921875" style="55" customWidth="1"/>
    <col min="4613" max="4613" width="10.69921875" style="55" customWidth="1"/>
    <col min="4614" max="4614" width="11.09765625" style="55" customWidth="1"/>
    <col min="4615" max="4615" width="7.69921875" style="55" customWidth="1"/>
    <col min="4616" max="4616" width="9" style="55" bestFit="1" customWidth="1"/>
    <col min="4617" max="4617" width="9.59765625" style="55" bestFit="1" customWidth="1"/>
    <col min="4618" max="4618" width="1.8984375" style="55" customWidth="1"/>
    <col min="4619" max="4864" width="7.19921875" style="55"/>
    <col min="4865" max="4865" width="1.59765625" style="55" customWidth="1"/>
    <col min="4866" max="4866" width="2.09765625" style="55" customWidth="1"/>
    <col min="4867" max="4867" width="17.3984375" style="55" customWidth="1"/>
    <col min="4868" max="4868" width="7.19921875" style="55" customWidth="1"/>
    <col min="4869" max="4869" width="10.69921875" style="55" customWidth="1"/>
    <col min="4870" max="4870" width="11.09765625" style="55" customWidth="1"/>
    <col min="4871" max="4871" width="7.69921875" style="55" customWidth="1"/>
    <col min="4872" max="4872" width="9" style="55" bestFit="1" customWidth="1"/>
    <col min="4873" max="4873" width="9.59765625" style="55" bestFit="1" customWidth="1"/>
    <col min="4874" max="4874" width="1.8984375" style="55" customWidth="1"/>
    <col min="4875" max="5120" width="7.19921875" style="55"/>
    <col min="5121" max="5121" width="1.59765625" style="55" customWidth="1"/>
    <col min="5122" max="5122" width="2.09765625" style="55" customWidth="1"/>
    <col min="5123" max="5123" width="17.3984375" style="55" customWidth="1"/>
    <col min="5124" max="5124" width="7.19921875" style="55" customWidth="1"/>
    <col min="5125" max="5125" width="10.69921875" style="55" customWidth="1"/>
    <col min="5126" max="5126" width="11.09765625" style="55" customWidth="1"/>
    <col min="5127" max="5127" width="7.69921875" style="55" customWidth="1"/>
    <col min="5128" max="5128" width="9" style="55" bestFit="1" customWidth="1"/>
    <col min="5129" max="5129" width="9.59765625" style="55" bestFit="1" customWidth="1"/>
    <col min="5130" max="5130" width="1.8984375" style="55" customWidth="1"/>
    <col min="5131" max="5376" width="7.19921875" style="55"/>
    <col min="5377" max="5377" width="1.59765625" style="55" customWidth="1"/>
    <col min="5378" max="5378" width="2.09765625" style="55" customWidth="1"/>
    <col min="5379" max="5379" width="17.3984375" style="55" customWidth="1"/>
    <col min="5380" max="5380" width="7.19921875" style="55" customWidth="1"/>
    <col min="5381" max="5381" width="10.69921875" style="55" customWidth="1"/>
    <col min="5382" max="5382" width="11.09765625" style="55" customWidth="1"/>
    <col min="5383" max="5383" width="7.69921875" style="55" customWidth="1"/>
    <col min="5384" max="5384" width="9" style="55" bestFit="1" customWidth="1"/>
    <col min="5385" max="5385" width="9.59765625" style="55" bestFit="1" customWidth="1"/>
    <col min="5386" max="5386" width="1.8984375" style="55" customWidth="1"/>
    <col min="5387" max="5632" width="7.19921875" style="55"/>
    <col min="5633" max="5633" width="1.59765625" style="55" customWidth="1"/>
    <col min="5634" max="5634" width="2.09765625" style="55" customWidth="1"/>
    <col min="5635" max="5635" width="17.3984375" style="55" customWidth="1"/>
    <col min="5636" max="5636" width="7.19921875" style="55" customWidth="1"/>
    <col min="5637" max="5637" width="10.69921875" style="55" customWidth="1"/>
    <col min="5638" max="5638" width="11.09765625" style="55" customWidth="1"/>
    <col min="5639" max="5639" width="7.69921875" style="55" customWidth="1"/>
    <col min="5640" max="5640" width="9" style="55" bestFit="1" customWidth="1"/>
    <col min="5641" max="5641" width="9.59765625" style="55" bestFit="1" customWidth="1"/>
    <col min="5642" max="5642" width="1.8984375" style="55" customWidth="1"/>
    <col min="5643" max="5888" width="7.19921875" style="55"/>
    <col min="5889" max="5889" width="1.59765625" style="55" customWidth="1"/>
    <col min="5890" max="5890" width="2.09765625" style="55" customWidth="1"/>
    <col min="5891" max="5891" width="17.3984375" style="55" customWidth="1"/>
    <col min="5892" max="5892" width="7.19921875" style="55" customWidth="1"/>
    <col min="5893" max="5893" width="10.69921875" style="55" customWidth="1"/>
    <col min="5894" max="5894" width="11.09765625" style="55" customWidth="1"/>
    <col min="5895" max="5895" width="7.69921875" style="55" customWidth="1"/>
    <col min="5896" max="5896" width="9" style="55" bestFit="1" customWidth="1"/>
    <col min="5897" max="5897" width="9.59765625" style="55" bestFit="1" customWidth="1"/>
    <col min="5898" max="5898" width="1.8984375" style="55" customWidth="1"/>
    <col min="5899" max="6144" width="7.19921875" style="55"/>
    <col min="6145" max="6145" width="1.59765625" style="55" customWidth="1"/>
    <col min="6146" max="6146" width="2.09765625" style="55" customWidth="1"/>
    <col min="6147" max="6147" width="17.3984375" style="55" customWidth="1"/>
    <col min="6148" max="6148" width="7.19921875" style="55" customWidth="1"/>
    <col min="6149" max="6149" width="10.69921875" style="55" customWidth="1"/>
    <col min="6150" max="6150" width="11.09765625" style="55" customWidth="1"/>
    <col min="6151" max="6151" width="7.69921875" style="55" customWidth="1"/>
    <col min="6152" max="6152" width="9" style="55" bestFit="1" customWidth="1"/>
    <col min="6153" max="6153" width="9.59765625" style="55" bestFit="1" customWidth="1"/>
    <col min="6154" max="6154" width="1.8984375" style="55" customWidth="1"/>
    <col min="6155" max="6400" width="7.19921875" style="55"/>
    <col min="6401" max="6401" width="1.59765625" style="55" customWidth="1"/>
    <col min="6402" max="6402" width="2.09765625" style="55" customWidth="1"/>
    <col min="6403" max="6403" width="17.3984375" style="55" customWidth="1"/>
    <col min="6404" max="6404" width="7.19921875" style="55" customWidth="1"/>
    <col min="6405" max="6405" width="10.69921875" style="55" customWidth="1"/>
    <col min="6406" max="6406" width="11.09765625" style="55" customWidth="1"/>
    <col min="6407" max="6407" width="7.69921875" style="55" customWidth="1"/>
    <col min="6408" max="6408" width="9" style="55" bestFit="1" customWidth="1"/>
    <col min="6409" max="6409" width="9.59765625" style="55" bestFit="1" customWidth="1"/>
    <col min="6410" max="6410" width="1.8984375" style="55" customWidth="1"/>
    <col min="6411" max="6656" width="7.19921875" style="55"/>
    <col min="6657" max="6657" width="1.59765625" style="55" customWidth="1"/>
    <col min="6658" max="6658" width="2.09765625" style="55" customWidth="1"/>
    <col min="6659" max="6659" width="17.3984375" style="55" customWidth="1"/>
    <col min="6660" max="6660" width="7.19921875" style="55" customWidth="1"/>
    <col min="6661" max="6661" width="10.69921875" style="55" customWidth="1"/>
    <col min="6662" max="6662" width="11.09765625" style="55" customWidth="1"/>
    <col min="6663" max="6663" width="7.69921875" style="55" customWidth="1"/>
    <col min="6664" max="6664" width="9" style="55" bestFit="1" customWidth="1"/>
    <col min="6665" max="6665" width="9.59765625" style="55" bestFit="1" customWidth="1"/>
    <col min="6666" max="6666" width="1.8984375" style="55" customWidth="1"/>
    <col min="6667" max="6912" width="7.19921875" style="55"/>
    <col min="6913" max="6913" width="1.59765625" style="55" customWidth="1"/>
    <col min="6914" max="6914" width="2.09765625" style="55" customWidth="1"/>
    <col min="6915" max="6915" width="17.3984375" style="55" customWidth="1"/>
    <col min="6916" max="6916" width="7.19921875" style="55" customWidth="1"/>
    <col min="6917" max="6917" width="10.69921875" style="55" customWidth="1"/>
    <col min="6918" max="6918" width="11.09765625" style="55" customWidth="1"/>
    <col min="6919" max="6919" width="7.69921875" style="55" customWidth="1"/>
    <col min="6920" max="6920" width="9" style="55" bestFit="1" customWidth="1"/>
    <col min="6921" max="6921" width="9.59765625" style="55" bestFit="1" customWidth="1"/>
    <col min="6922" max="6922" width="1.8984375" style="55" customWidth="1"/>
    <col min="6923" max="7168" width="7.19921875" style="55"/>
    <col min="7169" max="7169" width="1.59765625" style="55" customWidth="1"/>
    <col min="7170" max="7170" width="2.09765625" style="55" customWidth="1"/>
    <col min="7171" max="7171" width="17.3984375" style="55" customWidth="1"/>
    <col min="7172" max="7172" width="7.19921875" style="55" customWidth="1"/>
    <col min="7173" max="7173" width="10.69921875" style="55" customWidth="1"/>
    <col min="7174" max="7174" width="11.09765625" style="55" customWidth="1"/>
    <col min="7175" max="7175" width="7.69921875" style="55" customWidth="1"/>
    <col min="7176" max="7176" width="9" style="55" bestFit="1" customWidth="1"/>
    <col min="7177" max="7177" width="9.59765625" style="55" bestFit="1" customWidth="1"/>
    <col min="7178" max="7178" width="1.8984375" style="55" customWidth="1"/>
    <col min="7179" max="7424" width="7.19921875" style="55"/>
    <col min="7425" max="7425" width="1.59765625" style="55" customWidth="1"/>
    <col min="7426" max="7426" width="2.09765625" style="55" customWidth="1"/>
    <col min="7427" max="7427" width="17.3984375" style="55" customWidth="1"/>
    <col min="7428" max="7428" width="7.19921875" style="55" customWidth="1"/>
    <col min="7429" max="7429" width="10.69921875" style="55" customWidth="1"/>
    <col min="7430" max="7430" width="11.09765625" style="55" customWidth="1"/>
    <col min="7431" max="7431" width="7.69921875" style="55" customWidth="1"/>
    <col min="7432" max="7432" width="9" style="55" bestFit="1" customWidth="1"/>
    <col min="7433" max="7433" width="9.59765625" style="55" bestFit="1" customWidth="1"/>
    <col min="7434" max="7434" width="1.8984375" style="55" customWidth="1"/>
    <col min="7435" max="7680" width="7.19921875" style="55"/>
    <col min="7681" max="7681" width="1.59765625" style="55" customWidth="1"/>
    <col min="7682" max="7682" width="2.09765625" style="55" customWidth="1"/>
    <col min="7683" max="7683" width="17.3984375" style="55" customWidth="1"/>
    <col min="7684" max="7684" width="7.19921875" style="55" customWidth="1"/>
    <col min="7685" max="7685" width="10.69921875" style="55" customWidth="1"/>
    <col min="7686" max="7686" width="11.09765625" style="55" customWidth="1"/>
    <col min="7687" max="7687" width="7.69921875" style="55" customWidth="1"/>
    <col min="7688" max="7688" width="9" style="55" bestFit="1" customWidth="1"/>
    <col min="7689" max="7689" width="9.59765625" style="55" bestFit="1" customWidth="1"/>
    <col min="7690" max="7690" width="1.8984375" style="55" customWidth="1"/>
    <col min="7691" max="7936" width="7.19921875" style="55"/>
    <col min="7937" max="7937" width="1.59765625" style="55" customWidth="1"/>
    <col min="7938" max="7938" width="2.09765625" style="55" customWidth="1"/>
    <col min="7939" max="7939" width="17.3984375" style="55" customWidth="1"/>
    <col min="7940" max="7940" width="7.19921875" style="55" customWidth="1"/>
    <col min="7941" max="7941" width="10.69921875" style="55" customWidth="1"/>
    <col min="7942" max="7942" width="11.09765625" style="55" customWidth="1"/>
    <col min="7943" max="7943" width="7.69921875" style="55" customWidth="1"/>
    <col min="7944" max="7944" width="9" style="55" bestFit="1" customWidth="1"/>
    <col min="7945" max="7945" width="9.59765625" style="55" bestFit="1" customWidth="1"/>
    <col min="7946" max="7946" width="1.8984375" style="55" customWidth="1"/>
    <col min="7947" max="8192" width="7.19921875" style="55"/>
    <col min="8193" max="8193" width="1.59765625" style="55" customWidth="1"/>
    <col min="8194" max="8194" width="2.09765625" style="55" customWidth="1"/>
    <col min="8195" max="8195" width="17.3984375" style="55" customWidth="1"/>
    <col min="8196" max="8196" width="7.19921875" style="55" customWidth="1"/>
    <col min="8197" max="8197" width="10.69921875" style="55" customWidth="1"/>
    <col min="8198" max="8198" width="11.09765625" style="55" customWidth="1"/>
    <col min="8199" max="8199" width="7.69921875" style="55" customWidth="1"/>
    <col min="8200" max="8200" width="9" style="55" bestFit="1" customWidth="1"/>
    <col min="8201" max="8201" width="9.59765625" style="55" bestFit="1" customWidth="1"/>
    <col min="8202" max="8202" width="1.8984375" style="55" customWidth="1"/>
    <col min="8203" max="8448" width="7.19921875" style="55"/>
    <col min="8449" max="8449" width="1.59765625" style="55" customWidth="1"/>
    <col min="8450" max="8450" width="2.09765625" style="55" customWidth="1"/>
    <col min="8451" max="8451" width="17.3984375" style="55" customWidth="1"/>
    <col min="8452" max="8452" width="7.19921875" style="55" customWidth="1"/>
    <col min="8453" max="8453" width="10.69921875" style="55" customWidth="1"/>
    <col min="8454" max="8454" width="11.09765625" style="55" customWidth="1"/>
    <col min="8455" max="8455" width="7.69921875" style="55" customWidth="1"/>
    <col min="8456" max="8456" width="9" style="55" bestFit="1" customWidth="1"/>
    <col min="8457" max="8457" width="9.59765625" style="55" bestFit="1" customWidth="1"/>
    <col min="8458" max="8458" width="1.8984375" style="55" customWidth="1"/>
    <col min="8459" max="8704" width="7.19921875" style="55"/>
    <col min="8705" max="8705" width="1.59765625" style="55" customWidth="1"/>
    <col min="8706" max="8706" width="2.09765625" style="55" customWidth="1"/>
    <col min="8707" max="8707" width="17.3984375" style="55" customWidth="1"/>
    <col min="8708" max="8708" width="7.19921875" style="55" customWidth="1"/>
    <col min="8709" max="8709" width="10.69921875" style="55" customWidth="1"/>
    <col min="8710" max="8710" width="11.09765625" style="55" customWidth="1"/>
    <col min="8711" max="8711" width="7.69921875" style="55" customWidth="1"/>
    <col min="8712" max="8712" width="9" style="55" bestFit="1" customWidth="1"/>
    <col min="8713" max="8713" width="9.59765625" style="55" bestFit="1" customWidth="1"/>
    <col min="8714" max="8714" width="1.8984375" style="55" customWidth="1"/>
    <col min="8715" max="8960" width="7.19921875" style="55"/>
    <col min="8961" max="8961" width="1.59765625" style="55" customWidth="1"/>
    <col min="8962" max="8962" width="2.09765625" style="55" customWidth="1"/>
    <col min="8963" max="8963" width="17.3984375" style="55" customWidth="1"/>
    <col min="8964" max="8964" width="7.19921875" style="55" customWidth="1"/>
    <col min="8965" max="8965" width="10.69921875" style="55" customWidth="1"/>
    <col min="8966" max="8966" width="11.09765625" style="55" customWidth="1"/>
    <col min="8967" max="8967" width="7.69921875" style="55" customWidth="1"/>
    <col min="8968" max="8968" width="9" style="55" bestFit="1" customWidth="1"/>
    <col min="8969" max="8969" width="9.59765625" style="55" bestFit="1" customWidth="1"/>
    <col min="8970" max="8970" width="1.8984375" style="55" customWidth="1"/>
    <col min="8971" max="9216" width="7.19921875" style="55"/>
    <col min="9217" max="9217" width="1.59765625" style="55" customWidth="1"/>
    <col min="9218" max="9218" width="2.09765625" style="55" customWidth="1"/>
    <col min="9219" max="9219" width="17.3984375" style="55" customWidth="1"/>
    <col min="9220" max="9220" width="7.19921875" style="55" customWidth="1"/>
    <col min="9221" max="9221" width="10.69921875" style="55" customWidth="1"/>
    <col min="9222" max="9222" width="11.09765625" style="55" customWidth="1"/>
    <col min="9223" max="9223" width="7.69921875" style="55" customWidth="1"/>
    <col min="9224" max="9224" width="9" style="55" bestFit="1" customWidth="1"/>
    <col min="9225" max="9225" width="9.59765625" style="55" bestFit="1" customWidth="1"/>
    <col min="9226" max="9226" width="1.8984375" style="55" customWidth="1"/>
    <col min="9227" max="9472" width="7.19921875" style="55"/>
    <col min="9473" max="9473" width="1.59765625" style="55" customWidth="1"/>
    <col min="9474" max="9474" width="2.09765625" style="55" customWidth="1"/>
    <col min="9475" max="9475" width="17.3984375" style="55" customWidth="1"/>
    <col min="9476" max="9476" width="7.19921875" style="55" customWidth="1"/>
    <col min="9477" max="9477" width="10.69921875" style="55" customWidth="1"/>
    <col min="9478" max="9478" width="11.09765625" style="55" customWidth="1"/>
    <col min="9479" max="9479" width="7.69921875" style="55" customWidth="1"/>
    <col min="9480" max="9480" width="9" style="55" bestFit="1" customWidth="1"/>
    <col min="9481" max="9481" width="9.59765625" style="55" bestFit="1" customWidth="1"/>
    <col min="9482" max="9482" width="1.8984375" style="55" customWidth="1"/>
    <col min="9483" max="9728" width="7.19921875" style="55"/>
    <col min="9729" max="9729" width="1.59765625" style="55" customWidth="1"/>
    <col min="9730" max="9730" width="2.09765625" style="55" customWidth="1"/>
    <col min="9731" max="9731" width="17.3984375" style="55" customWidth="1"/>
    <col min="9732" max="9732" width="7.19921875" style="55" customWidth="1"/>
    <col min="9733" max="9733" width="10.69921875" style="55" customWidth="1"/>
    <col min="9734" max="9734" width="11.09765625" style="55" customWidth="1"/>
    <col min="9735" max="9735" width="7.69921875" style="55" customWidth="1"/>
    <col min="9736" max="9736" width="9" style="55" bestFit="1" customWidth="1"/>
    <col min="9737" max="9737" width="9.59765625" style="55" bestFit="1" customWidth="1"/>
    <col min="9738" max="9738" width="1.8984375" style="55" customWidth="1"/>
    <col min="9739" max="9984" width="7.19921875" style="55"/>
    <col min="9985" max="9985" width="1.59765625" style="55" customWidth="1"/>
    <col min="9986" max="9986" width="2.09765625" style="55" customWidth="1"/>
    <col min="9987" max="9987" width="17.3984375" style="55" customWidth="1"/>
    <col min="9988" max="9988" width="7.19921875" style="55" customWidth="1"/>
    <col min="9989" max="9989" width="10.69921875" style="55" customWidth="1"/>
    <col min="9990" max="9990" width="11.09765625" style="55" customWidth="1"/>
    <col min="9991" max="9991" width="7.69921875" style="55" customWidth="1"/>
    <col min="9992" max="9992" width="9" style="55" bestFit="1" customWidth="1"/>
    <col min="9993" max="9993" width="9.59765625" style="55" bestFit="1" customWidth="1"/>
    <col min="9994" max="9994" width="1.8984375" style="55" customWidth="1"/>
    <col min="9995" max="10240" width="7.19921875" style="55"/>
    <col min="10241" max="10241" width="1.59765625" style="55" customWidth="1"/>
    <col min="10242" max="10242" width="2.09765625" style="55" customWidth="1"/>
    <col min="10243" max="10243" width="17.3984375" style="55" customWidth="1"/>
    <col min="10244" max="10244" width="7.19921875" style="55" customWidth="1"/>
    <col min="10245" max="10245" width="10.69921875" style="55" customWidth="1"/>
    <col min="10246" max="10246" width="11.09765625" style="55" customWidth="1"/>
    <col min="10247" max="10247" width="7.69921875" style="55" customWidth="1"/>
    <col min="10248" max="10248" width="9" style="55" bestFit="1" customWidth="1"/>
    <col min="10249" max="10249" width="9.59765625" style="55" bestFit="1" customWidth="1"/>
    <col min="10250" max="10250" width="1.8984375" style="55" customWidth="1"/>
    <col min="10251" max="10496" width="7.19921875" style="55"/>
    <col min="10497" max="10497" width="1.59765625" style="55" customWidth="1"/>
    <col min="10498" max="10498" width="2.09765625" style="55" customWidth="1"/>
    <col min="10499" max="10499" width="17.3984375" style="55" customWidth="1"/>
    <col min="10500" max="10500" width="7.19921875" style="55" customWidth="1"/>
    <col min="10501" max="10501" width="10.69921875" style="55" customWidth="1"/>
    <col min="10502" max="10502" width="11.09765625" style="55" customWidth="1"/>
    <col min="10503" max="10503" width="7.69921875" style="55" customWidth="1"/>
    <col min="10504" max="10504" width="9" style="55" bestFit="1" customWidth="1"/>
    <col min="10505" max="10505" width="9.59765625" style="55" bestFit="1" customWidth="1"/>
    <col min="10506" max="10506" width="1.8984375" style="55" customWidth="1"/>
    <col min="10507" max="10752" width="7.19921875" style="55"/>
    <col min="10753" max="10753" width="1.59765625" style="55" customWidth="1"/>
    <col min="10754" max="10754" width="2.09765625" style="55" customWidth="1"/>
    <col min="10755" max="10755" width="17.3984375" style="55" customWidth="1"/>
    <col min="10756" max="10756" width="7.19921875" style="55" customWidth="1"/>
    <col min="10757" max="10757" width="10.69921875" style="55" customWidth="1"/>
    <col min="10758" max="10758" width="11.09765625" style="55" customWidth="1"/>
    <col min="10759" max="10759" width="7.69921875" style="55" customWidth="1"/>
    <col min="10760" max="10760" width="9" style="55" bestFit="1" customWidth="1"/>
    <col min="10761" max="10761" width="9.59765625" style="55" bestFit="1" customWidth="1"/>
    <col min="10762" max="10762" width="1.8984375" style="55" customWidth="1"/>
    <col min="10763" max="11008" width="7.19921875" style="55"/>
    <col min="11009" max="11009" width="1.59765625" style="55" customWidth="1"/>
    <col min="11010" max="11010" width="2.09765625" style="55" customWidth="1"/>
    <col min="11011" max="11011" width="17.3984375" style="55" customWidth="1"/>
    <col min="11012" max="11012" width="7.19921875" style="55" customWidth="1"/>
    <col min="11013" max="11013" width="10.69921875" style="55" customWidth="1"/>
    <col min="11014" max="11014" width="11.09765625" style="55" customWidth="1"/>
    <col min="11015" max="11015" width="7.69921875" style="55" customWidth="1"/>
    <col min="11016" max="11016" width="9" style="55" bestFit="1" customWidth="1"/>
    <col min="11017" max="11017" width="9.59765625" style="55" bestFit="1" customWidth="1"/>
    <col min="11018" max="11018" width="1.8984375" style="55" customWidth="1"/>
    <col min="11019" max="11264" width="7.19921875" style="55"/>
    <col min="11265" max="11265" width="1.59765625" style="55" customWidth="1"/>
    <col min="11266" max="11266" width="2.09765625" style="55" customWidth="1"/>
    <col min="11267" max="11267" width="17.3984375" style="55" customWidth="1"/>
    <col min="11268" max="11268" width="7.19921875" style="55" customWidth="1"/>
    <col min="11269" max="11269" width="10.69921875" style="55" customWidth="1"/>
    <col min="11270" max="11270" width="11.09765625" style="55" customWidth="1"/>
    <col min="11271" max="11271" width="7.69921875" style="55" customWidth="1"/>
    <col min="11272" max="11272" width="9" style="55" bestFit="1" customWidth="1"/>
    <col min="11273" max="11273" width="9.59765625" style="55" bestFit="1" customWidth="1"/>
    <col min="11274" max="11274" width="1.8984375" style="55" customWidth="1"/>
    <col min="11275" max="11520" width="7.19921875" style="55"/>
    <col min="11521" max="11521" width="1.59765625" style="55" customWidth="1"/>
    <col min="11522" max="11522" width="2.09765625" style="55" customWidth="1"/>
    <col min="11523" max="11523" width="17.3984375" style="55" customWidth="1"/>
    <col min="11524" max="11524" width="7.19921875" style="55" customWidth="1"/>
    <col min="11525" max="11525" width="10.69921875" style="55" customWidth="1"/>
    <col min="11526" max="11526" width="11.09765625" style="55" customWidth="1"/>
    <col min="11527" max="11527" width="7.69921875" style="55" customWidth="1"/>
    <col min="11528" max="11528" width="9" style="55" bestFit="1" customWidth="1"/>
    <col min="11529" max="11529" width="9.59765625" style="55" bestFit="1" customWidth="1"/>
    <col min="11530" max="11530" width="1.8984375" style="55" customWidth="1"/>
    <col min="11531" max="11776" width="7.19921875" style="55"/>
    <col min="11777" max="11777" width="1.59765625" style="55" customWidth="1"/>
    <col min="11778" max="11778" width="2.09765625" style="55" customWidth="1"/>
    <col min="11779" max="11779" width="17.3984375" style="55" customWidth="1"/>
    <col min="11780" max="11780" width="7.19921875" style="55" customWidth="1"/>
    <col min="11781" max="11781" width="10.69921875" style="55" customWidth="1"/>
    <col min="11782" max="11782" width="11.09765625" style="55" customWidth="1"/>
    <col min="11783" max="11783" width="7.69921875" style="55" customWidth="1"/>
    <col min="11784" max="11784" width="9" style="55" bestFit="1" customWidth="1"/>
    <col min="11785" max="11785" width="9.59765625" style="55" bestFit="1" customWidth="1"/>
    <col min="11786" max="11786" width="1.8984375" style="55" customWidth="1"/>
    <col min="11787" max="12032" width="7.19921875" style="55"/>
    <col min="12033" max="12033" width="1.59765625" style="55" customWidth="1"/>
    <col min="12034" max="12034" width="2.09765625" style="55" customWidth="1"/>
    <col min="12035" max="12035" width="17.3984375" style="55" customWidth="1"/>
    <col min="12036" max="12036" width="7.19921875" style="55" customWidth="1"/>
    <col min="12037" max="12037" width="10.69921875" style="55" customWidth="1"/>
    <col min="12038" max="12038" width="11.09765625" style="55" customWidth="1"/>
    <col min="12039" max="12039" width="7.69921875" style="55" customWidth="1"/>
    <col min="12040" max="12040" width="9" style="55" bestFit="1" customWidth="1"/>
    <col min="12041" max="12041" width="9.59765625" style="55" bestFit="1" customWidth="1"/>
    <col min="12042" max="12042" width="1.8984375" style="55" customWidth="1"/>
    <col min="12043" max="12288" width="7.19921875" style="55"/>
    <col min="12289" max="12289" width="1.59765625" style="55" customWidth="1"/>
    <col min="12290" max="12290" width="2.09765625" style="55" customWidth="1"/>
    <col min="12291" max="12291" width="17.3984375" style="55" customWidth="1"/>
    <col min="12292" max="12292" width="7.19921875" style="55" customWidth="1"/>
    <col min="12293" max="12293" width="10.69921875" style="55" customWidth="1"/>
    <col min="12294" max="12294" width="11.09765625" style="55" customWidth="1"/>
    <col min="12295" max="12295" width="7.69921875" style="55" customWidth="1"/>
    <col min="12296" max="12296" width="9" style="55" bestFit="1" customWidth="1"/>
    <col min="12297" max="12297" width="9.59765625" style="55" bestFit="1" customWidth="1"/>
    <col min="12298" max="12298" width="1.8984375" style="55" customWidth="1"/>
    <col min="12299" max="12544" width="7.19921875" style="55"/>
    <col min="12545" max="12545" width="1.59765625" style="55" customWidth="1"/>
    <col min="12546" max="12546" width="2.09765625" style="55" customWidth="1"/>
    <col min="12547" max="12547" width="17.3984375" style="55" customWidth="1"/>
    <col min="12548" max="12548" width="7.19921875" style="55" customWidth="1"/>
    <col min="12549" max="12549" width="10.69921875" style="55" customWidth="1"/>
    <col min="12550" max="12550" width="11.09765625" style="55" customWidth="1"/>
    <col min="12551" max="12551" width="7.69921875" style="55" customWidth="1"/>
    <col min="12552" max="12552" width="9" style="55" bestFit="1" customWidth="1"/>
    <col min="12553" max="12553" width="9.59765625" style="55" bestFit="1" customWidth="1"/>
    <col min="12554" max="12554" width="1.8984375" style="55" customWidth="1"/>
    <col min="12555" max="12800" width="7.19921875" style="55"/>
    <col min="12801" max="12801" width="1.59765625" style="55" customWidth="1"/>
    <col min="12802" max="12802" width="2.09765625" style="55" customWidth="1"/>
    <col min="12803" max="12803" width="17.3984375" style="55" customWidth="1"/>
    <col min="12804" max="12804" width="7.19921875" style="55" customWidth="1"/>
    <col min="12805" max="12805" width="10.69921875" style="55" customWidth="1"/>
    <col min="12806" max="12806" width="11.09765625" style="55" customWidth="1"/>
    <col min="12807" max="12807" width="7.69921875" style="55" customWidth="1"/>
    <col min="12808" max="12808" width="9" style="55" bestFit="1" customWidth="1"/>
    <col min="12809" max="12809" width="9.59765625" style="55" bestFit="1" customWidth="1"/>
    <col min="12810" max="12810" width="1.8984375" style="55" customWidth="1"/>
    <col min="12811" max="13056" width="7.19921875" style="55"/>
    <col min="13057" max="13057" width="1.59765625" style="55" customWidth="1"/>
    <col min="13058" max="13058" width="2.09765625" style="55" customWidth="1"/>
    <col min="13059" max="13059" width="17.3984375" style="55" customWidth="1"/>
    <col min="13060" max="13060" width="7.19921875" style="55" customWidth="1"/>
    <col min="13061" max="13061" width="10.69921875" style="55" customWidth="1"/>
    <col min="13062" max="13062" width="11.09765625" style="55" customWidth="1"/>
    <col min="13063" max="13063" width="7.69921875" style="55" customWidth="1"/>
    <col min="13064" max="13064" width="9" style="55" bestFit="1" customWidth="1"/>
    <col min="13065" max="13065" width="9.59765625" style="55" bestFit="1" customWidth="1"/>
    <col min="13066" max="13066" width="1.8984375" style="55" customWidth="1"/>
    <col min="13067" max="13312" width="7.19921875" style="55"/>
    <col min="13313" max="13313" width="1.59765625" style="55" customWidth="1"/>
    <col min="13314" max="13314" width="2.09765625" style="55" customWidth="1"/>
    <col min="13315" max="13315" width="17.3984375" style="55" customWidth="1"/>
    <col min="13316" max="13316" width="7.19921875" style="55" customWidth="1"/>
    <col min="13317" max="13317" width="10.69921875" style="55" customWidth="1"/>
    <col min="13318" max="13318" width="11.09765625" style="55" customWidth="1"/>
    <col min="13319" max="13319" width="7.69921875" style="55" customWidth="1"/>
    <col min="13320" max="13320" width="9" style="55" bestFit="1" customWidth="1"/>
    <col min="13321" max="13321" width="9.59765625" style="55" bestFit="1" customWidth="1"/>
    <col min="13322" max="13322" width="1.8984375" style="55" customWidth="1"/>
    <col min="13323" max="13568" width="7.19921875" style="55"/>
    <col min="13569" max="13569" width="1.59765625" style="55" customWidth="1"/>
    <col min="13570" max="13570" width="2.09765625" style="55" customWidth="1"/>
    <col min="13571" max="13571" width="17.3984375" style="55" customWidth="1"/>
    <col min="13572" max="13572" width="7.19921875" style="55" customWidth="1"/>
    <col min="13573" max="13573" width="10.69921875" style="55" customWidth="1"/>
    <col min="13574" max="13574" width="11.09765625" style="55" customWidth="1"/>
    <col min="13575" max="13575" width="7.69921875" style="55" customWidth="1"/>
    <col min="13576" max="13576" width="9" style="55" bestFit="1" customWidth="1"/>
    <col min="13577" max="13577" width="9.59765625" style="55" bestFit="1" customWidth="1"/>
    <col min="13578" max="13578" width="1.8984375" style="55" customWidth="1"/>
    <col min="13579" max="13824" width="7.19921875" style="55"/>
    <col min="13825" max="13825" width="1.59765625" style="55" customWidth="1"/>
    <col min="13826" max="13826" width="2.09765625" style="55" customWidth="1"/>
    <col min="13827" max="13827" width="17.3984375" style="55" customWidth="1"/>
    <col min="13828" max="13828" width="7.19921875" style="55" customWidth="1"/>
    <col min="13829" max="13829" width="10.69921875" style="55" customWidth="1"/>
    <col min="13830" max="13830" width="11.09765625" style="55" customWidth="1"/>
    <col min="13831" max="13831" width="7.69921875" style="55" customWidth="1"/>
    <col min="13832" max="13832" width="9" style="55" bestFit="1" customWidth="1"/>
    <col min="13833" max="13833" width="9.59765625" style="55" bestFit="1" customWidth="1"/>
    <col min="13834" max="13834" width="1.8984375" style="55" customWidth="1"/>
    <col min="13835" max="14080" width="7.19921875" style="55"/>
    <col min="14081" max="14081" width="1.59765625" style="55" customWidth="1"/>
    <col min="14082" max="14082" width="2.09765625" style="55" customWidth="1"/>
    <col min="14083" max="14083" width="17.3984375" style="55" customWidth="1"/>
    <col min="14084" max="14084" width="7.19921875" style="55" customWidth="1"/>
    <col min="14085" max="14085" width="10.69921875" style="55" customWidth="1"/>
    <col min="14086" max="14086" width="11.09765625" style="55" customWidth="1"/>
    <col min="14087" max="14087" width="7.69921875" style="55" customWidth="1"/>
    <col min="14088" max="14088" width="9" style="55" bestFit="1" customWidth="1"/>
    <col min="14089" max="14089" width="9.59765625" style="55" bestFit="1" customWidth="1"/>
    <col min="14090" max="14090" width="1.8984375" style="55" customWidth="1"/>
    <col min="14091" max="14336" width="7.19921875" style="55"/>
    <col min="14337" max="14337" width="1.59765625" style="55" customWidth="1"/>
    <col min="14338" max="14338" width="2.09765625" style="55" customWidth="1"/>
    <col min="14339" max="14339" width="17.3984375" style="55" customWidth="1"/>
    <col min="14340" max="14340" width="7.19921875" style="55" customWidth="1"/>
    <col min="14341" max="14341" width="10.69921875" style="55" customWidth="1"/>
    <col min="14342" max="14342" width="11.09765625" style="55" customWidth="1"/>
    <col min="14343" max="14343" width="7.69921875" style="55" customWidth="1"/>
    <col min="14344" max="14344" width="9" style="55" bestFit="1" customWidth="1"/>
    <col min="14345" max="14345" width="9.59765625" style="55" bestFit="1" customWidth="1"/>
    <col min="14346" max="14346" width="1.8984375" style="55" customWidth="1"/>
    <col min="14347" max="14592" width="7.19921875" style="55"/>
    <col min="14593" max="14593" width="1.59765625" style="55" customWidth="1"/>
    <col min="14594" max="14594" width="2.09765625" style="55" customWidth="1"/>
    <col min="14595" max="14595" width="17.3984375" style="55" customWidth="1"/>
    <col min="14596" max="14596" width="7.19921875" style="55" customWidth="1"/>
    <col min="14597" max="14597" width="10.69921875" style="55" customWidth="1"/>
    <col min="14598" max="14598" width="11.09765625" style="55" customWidth="1"/>
    <col min="14599" max="14599" width="7.69921875" style="55" customWidth="1"/>
    <col min="14600" max="14600" width="9" style="55" bestFit="1" customWidth="1"/>
    <col min="14601" max="14601" width="9.59765625" style="55" bestFit="1" customWidth="1"/>
    <col min="14602" max="14602" width="1.8984375" style="55" customWidth="1"/>
    <col min="14603" max="14848" width="7.19921875" style="55"/>
    <col min="14849" max="14849" width="1.59765625" style="55" customWidth="1"/>
    <col min="14850" max="14850" width="2.09765625" style="55" customWidth="1"/>
    <col min="14851" max="14851" width="17.3984375" style="55" customWidth="1"/>
    <col min="14852" max="14852" width="7.19921875" style="55" customWidth="1"/>
    <col min="14853" max="14853" width="10.69921875" style="55" customWidth="1"/>
    <col min="14854" max="14854" width="11.09765625" style="55" customWidth="1"/>
    <col min="14855" max="14855" width="7.69921875" style="55" customWidth="1"/>
    <col min="14856" max="14856" width="9" style="55" bestFit="1" customWidth="1"/>
    <col min="14857" max="14857" width="9.59765625" style="55" bestFit="1" customWidth="1"/>
    <col min="14858" max="14858" width="1.8984375" style="55" customWidth="1"/>
    <col min="14859" max="15104" width="7.19921875" style="55"/>
    <col min="15105" max="15105" width="1.59765625" style="55" customWidth="1"/>
    <col min="15106" max="15106" width="2.09765625" style="55" customWidth="1"/>
    <col min="15107" max="15107" width="17.3984375" style="55" customWidth="1"/>
    <col min="15108" max="15108" width="7.19921875" style="55" customWidth="1"/>
    <col min="15109" max="15109" width="10.69921875" style="55" customWidth="1"/>
    <col min="15110" max="15110" width="11.09765625" style="55" customWidth="1"/>
    <col min="15111" max="15111" width="7.69921875" style="55" customWidth="1"/>
    <col min="15112" max="15112" width="9" style="55" bestFit="1" customWidth="1"/>
    <col min="15113" max="15113" width="9.59765625" style="55" bestFit="1" customWidth="1"/>
    <col min="15114" max="15114" width="1.8984375" style="55" customWidth="1"/>
    <col min="15115" max="15360" width="7.19921875" style="55"/>
    <col min="15361" max="15361" width="1.59765625" style="55" customWidth="1"/>
    <col min="15362" max="15362" width="2.09765625" style="55" customWidth="1"/>
    <col min="15363" max="15363" width="17.3984375" style="55" customWidth="1"/>
    <col min="15364" max="15364" width="7.19921875" style="55" customWidth="1"/>
    <col min="15365" max="15365" width="10.69921875" style="55" customWidth="1"/>
    <col min="15366" max="15366" width="11.09765625" style="55" customWidth="1"/>
    <col min="15367" max="15367" width="7.69921875" style="55" customWidth="1"/>
    <col min="15368" max="15368" width="9" style="55" bestFit="1" customWidth="1"/>
    <col min="15369" max="15369" width="9.59765625" style="55" bestFit="1" customWidth="1"/>
    <col min="15370" max="15370" width="1.8984375" style="55" customWidth="1"/>
    <col min="15371" max="15616" width="7.19921875" style="55"/>
    <col min="15617" max="15617" width="1.59765625" style="55" customWidth="1"/>
    <col min="15618" max="15618" width="2.09765625" style="55" customWidth="1"/>
    <col min="15619" max="15619" width="17.3984375" style="55" customWidth="1"/>
    <col min="15620" max="15620" width="7.19921875" style="55" customWidth="1"/>
    <col min="15621" max="15621" width="10.69921875" style="55" customWidth="1"/>
    <col min="15622" max="15622" width="11.09765625" style="55" customWidth="1"/>
    <col min="15623" max="15623" width="7.69921875" style="55" customWidth="1"/>
    <col min="15624" max="15624" width="9" style="55" bestFit="1" customWidth="1"/>
    <col min="15625" max="15625" width="9.59765625" style="55" bestFit="1" customWidth="1"/>
    <col min="15626" max="15626" width="1.8984375" style="55" customWidth="1"/>
    <col min="15627" max="15872" width="7.19921875" style="55"/>
    <col min="15873" max="15873" width="1.59765625" style="55" customWidth="1"/>
    <col min="15874" max="15874" width="2.09765625" style="55" customWidth="1"/>
    <col min="15875" max="15875" width="17.3984375" style="55" customWidth="1"/>
    <col min="15876" max="15876" width="7.19921875" style="55" customWidth="1"/>
    <col min="15877" max="15877" width="10.69921875" style="55" customWidth="1"/>
    <col min="15878" max="15878" width="11.09765625" style="55" customWidth="1"/>
    <col min="15879" max="15879" width="7.69921875" style="55" customWidth="1"/>
    <col min="15880" max="15880" width="9" style="55" bestFit="1" customWidth="1"/>
    <col min="15881" max="15881" width="9.59765625" style="55" bestFit="1" customWidth="1"/>
    <col min="15882" max="15882" width="1.8984375" style="55" customWidth="1"/>
    <col min="15883" max="16128" width="7.19921875" style="55"/>
    <col min="16129" max="16129" width="1.59765625" style="55" customWidth="1"/>
    <col min="16130" max="16130" width="2.09765625" style="55" customWidth="1"/>
    <col min="16131" max="16131" width="17.3984375" style="55" customWidth="1"/>
    <col min="16132" max="16132" width="7.19921875" style="55" customWidth="1"/>
    <col min="16133" max="16133" width="10.69921875" style="55" customWidth="1"/>
    <col min="16134" max="16134" width="11.09765625" style="55" customWidth="1"/>
    <col min="16135" max="16135" width="7.69921875" style="55" customWidth="1"/>
    <col min="16136" max="16136" width="9" style="55" bestFit="1" customWidth="1"/>
    <col min="16137" max="16137" width="9.59765625" style="55" bestFit="1" customWidth="1"/>
    <col min="16138" max="16138" width="1.8984375" style="55" customWidth="1"/>
    <col min="16139" max="16384" width="7.19921875" style="55"/>
  </cols>
  <sheetData>
    <row r="2" spans="1:9" ht="18">
      <c r="B2" s="240" t="str">
        <f>Índice!B2</f>
        <v xml:space="preserve">INSEMINAÇÃO ARTIFICIAL </v>
      </c>
      <c r="C2" s="56"/>
    </row>
    <row r="3" spans="1:9" ht="13.5" thickBot="1">
      <c r="B3" s="469"/>
      <c r="C3" s="469"/>
      <c r="D3" s="175"/>
      <c r="E3" s="175"/>
      <c r="F3" s="175"/>
      <c r="G3" s="175"/>
      <c r="H3" s="175"/>
      <c r="I3" s="175"/>
    </row>
    <row r="4" spans="1:9" ht="16.5" thickTop="1">
      <c r="B4" s="57"/>
      <c r="C4" s="58"/>
      <c r="D4" s="58"/>
      <c r="E4" s="58"/>
      <c r="F4" s="58"/>
      <c r="G4" s="58"/>
      <c r="H4" s="59" t="s">
        <v>25</v>
      </c>
      <c r="I4" s="60"/>
    </row>
    <row r="5" spans="1:9" ht="20.25" customHeight="1">
      <c r="A5" s="356"/>
      <c r="B5" s="358" t="s">
        <v>169</v>
      </c>
      <c r="C5" s="356"/>
      <c r="G5" s="357"/>
      <c r="H5" s="473"/>
      <c r="I5" s="474"/>
    </row>
    <row r="6" spans="1:9" ht="13.5" thickBot="1">
      <c r="B6" s="62"/>
      <c r="C6" s="58"/>
      <c r="D6" s="58"/>
      <c r="E6" s="58"/>
      <c r="F6" s="58"/>
      <c r="G6" s="58"/>
      <c r="H6" s="302"/>
      <c r="I6" s="60"/>
    </row>
    <row r="7" spans="1:9" ht="13.5" thickTop="1">
      <c r="B7" s="64" t="s">
        <v>26</v>
      </c>
      <c r="C7" s="65"/>
      <c r="D7" s="66"/>
      <c r="E7" s="66"/>
      <c r="F7" s="67"/>
      <c r="G7" s="68" t="s">
        <v>27</v>
      </c>
      <c r="H7" s="69"/>
      <c r="I7" s="70"/>
    </row>
    <row r="8" spans="1:9">
      <c r="B8" s="71"/>
      <c r="C8" s="475" t="s">
        <v>28</v>
      </c>
      <c r="D8" s="475"/>
      <c r="E8" s="476"/>
      <c r="F8" s="72"/>
      <c r="G8" s="58"/>
      <c r="H8" s="58"/>
      <c r="I8" s="60"/>
    </row>
    <row r="9" spans="1:9" ht="13.5" thickBot="1">
      <c r="B9" s="73"/>
      <c r="C9" s="74"/>
      <c r="D9" s="75"/>
      <c r="E9" s="76"/>
      <c r="F9" s="77" t="s">
        <v>29</v>
      </c>
      <c r="G9" s="78"/>
      <c r="H9" s="78"/>
      <c r="I9" s="79"/>
    </row>
    <row r="10" spans="1:9">
      <c r="B10" s="80">
        <v>1</v>
      </c>
      <c r="C10" s="81" t="s">
        <v>21</v>
      </c>
      <c r="D10" s="82"/>
      <c r="E10" s="83"/>
      <c r="F10" s="84">
        <f>'Mão de obra'!F38</f>
        <v>8566.9434899999997</v>
      </c>
      <c r="G10" s="85">
        <f>F10/F$34</f>
        <v>0.36966408974592951</v>
      </c>
      <c r="H10" s="58"/>
      <c r="I10" s="60"/>
    </row>
    <row r="11" spans="1:9" ht="13.5" customHeight="1">
      <c r="B11" s="86">
        <v>2</v>
      </c>
      <c r="C11" s="87"/>
      <c r="D11" s="88"/>
      <c r="E11" s="89"/>
      <c r="F11" s="90"/>
      <c r="G11" s="91">
        <f>F11/F$34</f>
        <v>0</v>
      </c>
      <c r="H11" s="92"/>
      <c r="I11" s="93"/>
    </row>
    <row r="12" spans="1:9" ht="15">
      <c r="B12" s="94">
        <v>3</v>
      </c>
      <c r="C12" s="95"/>
      <c r="D12" s="96"/>
      <c r="E12" s="97"/>
      <c r="F12" s="98"/>
      <c r="G12" s="91"/>
      <c r="H12" s="58"/>
      <c r="I12" s="303"/>
    </row>
    <row r="13" spans="1:9">
      <c r="B13" s="94">
        <v>4</v>
      </c>
      <c r="C13" s="95"/>
      <c r="D13" s="96"/>
      <c r="E13" s="97"/>
      <c r="F13" s="98"/>
      <c r="G13" s="91"/>
      <c r="H13" s="58"/>
      <c r="I13" s="60"/>
    </row>
    <row r="14" spans="1:9" ht="13.5" thickBot="1">
      <c r="B14" s="99">
        <v>5</v>
      </c>
      <c r="C14" s="100"/>
      <c r="D14" s="101"/>
      <c r="E14" s="102"/>
      <c r="F14" s="103"/>
      <c r="G14" s="104"/>
      <c r="H14" s="58"/>
      <c r="I14" s="60"/>
    </row>
    <row r="15" spans="1:9" ht="18" customHeight="1" thickBot="1">
      <c r="B15" s="105"/>
      <c r="C15" s="477" t="s">
        <v>69</v>
      </c>
      <c r="D15" s="478"/>
      <c r="E15" s="479"/>
      <c r="F15" s="106">
        <f>SUM(F10:F14)</f>
        <v>8566.9434899999997</v>
      </c>
      <c r="G15" s="107">
        <f>F15/F$34</f>
        <v>0.36966408974592951</v>
      </c>
      <c r="H15" s="301"/>
      <c r="I15" s="79"/>
    </row>
    <row r="16" spans="1:9" ht="16.5" thickBot="1">
      <c r="B16" s="108" t="s">
        <v>30</v>
      </c>
      <c r="C16" s="109"/>
      <c r="D16" s="110"/>
      <c r="E16" s="110"/>
      <c r="F16" s="111"/>
      <c r="G16" s="58" t="s">
        <v>43</v>
      </c>
      <c r="H16" s="112"/>
      <c r="I16" s="60"/>
    </row>
    <row r="17" spans="2:9" ht="16.5" customHeight="1">
      <c r="B17" s="480" t="s">
        <v>14</v>
      </c>
      <c r="C17" s="481"/>
      <c r="D17" s="481"/>
      <c r="E17" s="482"/>
      <c r="F17" s="113"/>
      <c r="G17" s="473"/>
      <c r="H17" s="483"/>
      <c r="I17" s="474"/>
    </row>
    <row r="18" spans="2:9" ht="13.5" thickBot="1">
      <c r="B18" s="73"/>
      <c r="C18" s="75"/>
      <c r="D18" s="114"/>
      <c r="E18" s="115"/>
      <c r="F18" s="116" t="s">
        <v>29</v>
      </c>
      <c r="G18" s="58"/>
      <c r="H18" s="58"/>
      <c r="I18" s="60"/>
    </row>
    <row r="19" spans="2:9">
      <c r="B19" s="80">
        <v>1</v>
      </c>
      <c r="C19" s="117" t="str">
        <f>Materiais!B4</f>
        <v>7 - MATERIAIS</v>
      </c>
      <c r="D19" s="118"/>
      <c r="E19" s="83"/>
      <c r="F19" s="84">
        <f>Materiais!G13</f>
        <v>4787.8100000000004</v>
      </c>
      <c r="G19" s="119">
        <f>F19/F34</f>
        <v>0.20659426872517622</v>
      </c>
      <c r="H19" s="120" t="s">
        <v>31</v>
      </c>
      <c r="I19" s="121"/>
    </row>
    <row r="20" spans="2:9">
      <c r="B20" s="122">
        <v>2</v>
      </c>
      <c r="C20" s="123" t="str">
        <f>EPI!B4</f>
        <v>5 - UNIFORMES E EQUIPAMENTOS DE PROTEÇÃO INDIVIDUAL</v>
      </c>
      <c r="D20" s="124"/>
      <c r="E20" s="125"/>
      <c r="F20" s="126">
        <f>EPI!E14</f>
        <v>325.2</v>
      </c>
      <c r="G20" s="127">
        <v>0</v>
      </c>
      <c r="H20" s="58"/>
      <c r="I20" s="60"/>
    </row>
    <row r="21" spans="2:9">
      <c r="B21" s="122">
        <v>3</v>
      </c>
      <c r="C21" s="123" t="str">
        <f>Equipamentos!A1</f>
        <v>8 -EQUIPAMENTOS</v>
      </c>
      <c r="D21" s="124"/>
      <c r="E21" s="125"/>
      <c r="F21" s="126">
        <f>Equipamentos!F18</f>
        <v>2800.0007224726169</v>
      </c>
      <c r="G21" s="127">
        <v>0</v>
      </c>
      <c r="H21" s="58"/>
      <c r="I21" s="60"/>
    </row>
    <row r="22" spans="2:9">
      <c r="B22" s="86">
        <v>4</v>
      </c>
      <c r="C22" s="128"/>
      <c r="D22" s="129"/>
      <c r="E22" s="89"/>
      <c r="F22" s="90"/>
      <c r="G22" s="127"/>
      <c r="H22" s="58"/>
      <c r="I22" s="60"/>
    </row>
    <row r="23" spans="2:9">
      <c r="B23" s="86">
        <v>5</v>
      </c>
      <c r="C23" s="128"/>
      <c r="D23" s="129"/>
      <c r="E23" s="89"/>
      <c r="F23" s="90"/>
      <c r="G23" s="127"/>
      <c r="H23" s="58"/>
      <c r="I23" s="60"/>
    </row>
    <row r="24" spans="2:9">
      <c r="B24" s="86">
        <v>6</v>
      </c>
      <c r="C24" s="128"/>
      <c r="D24" s="129"/>
      <c r="E24" s="89"/>
      <c r="F24" s="90"/>
      <c r="G24" s="127"/>
      <c r="H24" s="58"/>
      <c r="I24" s="60"/>
    </row>
    <row r="25" spans="2:9" ht="13.5" thickBot="1">
      <c r="B25" s="99">
        <v>7</v>
      </c>
      <c r="C25" s="130"/>
      <c r="D25" s="131"/>
      <c r="E25" s="102"/>
      <c r="F25" s="103"/>
      <c r="G25" s="132"/>
      <c r="H25" s="58"/>
      <c r="I25" s="60"/>
    </row>
    <row r="26" spans="2:9" ht="14.25" customHeight="1" thickBot="1">
      <c r="B26" s="133"/>
      <c r="C26" s="470" t="s">
        <v>42</v>
      </c>
      <c r="D26" s="471"/>
      <c r="E26" s="472"/>
      <c r="F26" s="134">
        <f>F15+F19+F20+F21+F22</f>
        <v>16479.954212472618</v>
      </c>
      <c r="G26" s="144">
        <f>F26/F34</f>
        <v>0.71111094407467457</v>
      </c>
      <c r="H26" s="58"/>
      <c r="I26" s="60"/>
    </row>
    <row r="27" spans="2:9">
      <c r="B27" s="122">
        <v>1</v>
      </c>
      <c r="C27" s="123"/>
      <c r="D27" s="124"/>
      <c r="E27" s="125"/>
      <c r="F27" s="136"/>
      <c r="G27" s="137"/>
      <c r="H27" s="58"/>
      <c r="I27" s="60"/>
    </row>
    <row r="28" spans="2:9" ht="14.25" customHeight="1">
      <c r="B28" s="86">
        <v>2</v>
      </c>
      <c r="C28" s="490" t="s">
        <v>41</v>
      </c>
      <c r="D28" s="491"/>
      <c r="E28" s="492"/>
      <c r="F28" s="98">
        <f>'Despesas Indiretas'!C13</f>
        <v>2832.4966666666669</v>
      </c>
      <c r="G28" s="127">
        <f>F28/F$34</f>
        <v>0.1222223892586588</v>
      </c>
      <c r="H28" s="58"/>
      <c r="I28" s="60"/>
    </row>
    <row r="29" spans="2:9">
      <c r="B29" s="86">
        <v>3</v>
      </c>
      <c r="C29" s="128"/>
      <c r="D29" s="129"/>
      <c r="E29" s="89"/>
      <c r="F29" s="98"/>
      <c r="G29" s="127"/>
      <c r="H29" s="138"/>
      <c r="I29" s="60"/>
    </row>
    <row r="30" spans="2:9" ht="14.25" customHeight="1">
      <c r="B30" s="86">
        <v>4</v>
      </c>
      <c r="C30" s="490" t="s">
        <v>127</v>
      </c>
      <c r="D30" s="491"/>
      <c r="E30" s="492"/>
      <c r="F30" s="249">
        <v>0.2</v>
      </c>
      <c r="G30" s="250">
        <f>(F32-F28)/F34</f>
        <v>0.16666666666666666</v>
      </c>
      <c r="H30" s="241"/>
      <c r="I30" s="60"/>
    </row>
    <row r="31" spans="2:9" ht="13.5" thickBot="1">
      <c r="B31" s="139">
        <v>5</v>
      </c>
      <c r="C31" s="140"/>
      <c r="D31" s="141"/>
      <c r="E31" s="142"/>
      <c r="F31" s="103"/>
      <c r="G31" s="135"/>
      <c r="H31" s="58"/>
      <c r="I31" s="60"/>
    </row>
    <row r="32" spans="2:9" ht="18" customHeight="1" thickBot="1">
      <c r="B32" s="143"/>
      <c r="C32" s="493" t="s">
        <v>144</v>
      </c>
      <c r="D32" s="494"/>
      <c r="E32" s="495"/>
      <c r="F32" s="126">
        <f>(F26+F28)*F30+F28</f>
        <v>6694.9868424945234</v>
      </c>
      <c r="G32" s="144">
        <f>G28+G30</f>
        <v>0.28888905592532543</v>
      </c>
      <c r="H32" s="58"/>
      <c r="I32" s="60"/>
    </row>
    <row r="33" spans="2:9" ht="13.5" thickBot="1">
      <c r="B33" s="145"/>
      <c r="C33" s="146"/>
      <c r="D33" s="147"/>
      <c r="E33" s="147"/>
      <c r="F33" s="147"/>
      <c r="G33" s="58"/>
      <c r="H33" s="58"/>
      <c r="I33" s="60"/>
    </row>
    <row r="34" spans="2:9" ht="14.25" customHeight="1">
      <c r="B34" s="148"/>
      <c r="C34" s="498" t="s">
        <v>67</v>
      </c>
      <c r="D34" s="499"/>
      <c r="E34" s="500"/>
      <c r="F34" s="149">
        <f>F26+F32</f>
        <v>23174.941054967141</v>
      </c>
      <c r="G34" s="304">
        <f>G26+G32</f>
        <v>1</v>
      </c>
      <c r="H34" s="58"/>
      <c r="I34" s="60"/>
    </row>
    <row r="35" spans="2:9">
      <c r="B35" s="150"/>
      <c r="C35" s="58"/>
      <c r="D35" s="58"/>
      <c r="E35" s="58"/>
      <c r="F35" s="58"/>
      <c r="G35" s="58"/>
      <c r="H35" s="58"/>
      <c r="I35" s="60"/>
    </row>
    <row r="36" spans="2:9" ht="13.5" thickBot="1">
      <c r="B36" s="151" t="s">
        <v>32</v>
      </c>
      <c r="C36" s="152"/>
      <c r="D36" s="152"/>
      <c r="E36" s="153"/>
      <c r="F36" s="152"/>
      <c r="G36" s="153"/>
      <c r="H36" s="154"/>
      <c r="I36" s="155"/>
    </row>
    <row r="37" spans="2:9" ht="16.5" thickBot="1">
      <c r="B37" s="156"/>
      <c r="C37" s="157" t="s">
        <v>33</v>
      </c>
      <c r="D37" s="158"/>
      <c r="E37" s="503" t="s">
        <v>149</v>
      </c>
      <c r="F37" s="318"/>
      <c r="G37" s="319"/>
      <c r="H37" s="360" t="s">
        <v>220</v>
      </c>
      <c r="I37" s="159"/>
    </row>
    <row r="38" spans="2:9" ht="19.5" customHeight="1">
      <c r="B38" s="160">
        <v>1</v>
      </c>
      <c r="C38" s="120" t="s">
        <v>120</v>
      </c>
      <c r="D38" s="242">
        <v>1.7819999999999999E-2</v>
      </c>
      <c r="E38" s="504"/>
      <c r="F38" s="496">
        <f>F34*D45-(8100/12)</f>
        <v>24791.828264643758</v>
      </c>
      <c r="G38" s="497"/>
      <c r="H38" s="339">
        <f>F38/(Dimensionamento!D10/12)</f>
        <v>37.187742396965639</v>
      </c>
      <c r="I38" s="359"/>
    </row>
    <row r="39" spans="2:9">
      <c r="B39" s="94">
        <v>2</v>
      </c>
      <c r="C39" s="161" t="s">
        <v>34</v>
      </c>
      <c r="D39" s="243">
        <v>4.0000000000000001E-3</v>
      </c>
      <c r="E39" s="505"/>
      <c r="F39" s="320"/>
      <c r="G39" s="162"/>
      <c r="H39" s="163"/>
      <c r="I39" s="79"/>
    </row>
    <row r="40" spans="2:9" ht="15.75">
      <c r="B40" s="94">
        <v>3</v>
      </c>
      <c r="C40" s="161" t="s">
        <v>35</v>
      </c>
      <c r="D40" s="243">
        <v>1.8495000000000001E-2</v>
      </c>
      <c r="E40" s="485"/>
      <c r="F40" s="486"/>
      <c r="G40" s="325"/>
      <c r="H40" s="501"/>
      <c r="I40" s="502"/>
    </row>
    <row r="41" spans="2:9" ht="15.75">
      <c r="B41" s="94">
        <v>4</v>
      </c>
      <c r="C41" s="161" t="s">
        <v>36</v>
      </c>
      <c r="D41" s="340">
        <v>3.5999999999999997E-2</v>
      </c>
      <c r="E41" s="62"/>
      <c r="F41" s="323"/>
      <c r="G41" s="321"/>
      <c r="H41" s="361"/>
      <c r="I41" s="60"/>
    </row>
    <row r="42" spans="2:9" ht="16.5" thickBot="1">
      <c r="B42" s="164">
        <v>6</v>
      </c>
      <c r="C42" s="161" t="s">
        <v>121</v>
      </c>
      <c r="D42" s="300">
        <v>1.3679999999999999E-2</v>
      </c>
      <c r="E42" s="62"/>
      <c r="F42" s="58"/>
      <c r="G42" s="322"/>
      <c r="H42" s="63"/>
      <c r="I42" s="362"/>
    </row>
    <row r="43" spans="2:9" ht="15.75" thickBot="1">
      <c r="B43" s="165"/>
      <c r="C43" s="166" t="s">
        <v>37</v>
      </c>
      <c r="D43" s="167">
        <f>SUM(D38:D42)</f>
        <v>8.9994999999999992E-2</v>
      </c>
      <c r="E43" s="324"/>
      <c r="F43" s="61"/>
      <c r="G43" s="326"/>
      <c r="H43" s="168"/>
      <c r="I43" s="121"/>
    </row>
    <row r="44" spans="2:9" ht="15.75">
      <c r="B44" s="94">
        <v>1</v>
      </c>
      <c r="C44" s="161" t="s">
        <v>68</v>
      </c>
      <c r="D44" s="169">
        <f>1-D43</f>
        <v>0.91000499999999995</v>
      </c>
      <c r="E44" s="170"/>
      <c r="F44" s="58"/>
      <c r="G44" s="171"/>
      <c r="H44" s="487" t="s">
        <v>219</v>
      </c>
      <c r="I44" s="488"/>
    </row>
    <row r="45" spans="2:9" ht="13.5" thickBot="1">
      <c r="B45" s="172">
        <v>2</v>
      </c>
      <c r="C45" s="173" t="s">
        <v>64</v>
      </c>
      <c r="D45" s="174">
        <f>1/D44</f>
        <v>1.0988950610161483</v>
      </c>
      <c r="E45" s="175"/>
      <c r="F45" s="175"/>
      <c r="G45" s="176"/>
      <c r="H45" s="177"/>
      <c r="I45" s="178"/>
    </row>
    <row r="46" spans="2:9" ht="37.15" customHeight="1" thickTop="1">
      <c r="B46" s="484" t="s">
        <v>94</v>
      </c>
      <c r="C46" s="484"/>
      <c r="D46" s="484"/>
      <c r="E46" s="484"/>
      <c r="F46" s="484"/>
      <c r="G46" s="484"/>
      <c r="H46" s="484"/>
      <c r="I46" s="484"/>
    </row>
    <row r="47" spans="2:9" ht="15">
      <c r="B47" s="283" t="s">
        <v>128</v>
      </c>
      <c r="C47" s="283"/>
      <c r="D47" s="283"/>
      <c r="E47" s="283"/>
    </row>
    <row r="49" spans="2:9" ht="38.450000000000003" customHeight="1">
      <c r="B49" s="489" t="s">
        <v>156</v>
      </c>
      <c r="C49" s="489"/>
      <c r="D49" s="489"/>
      <c r="E49" s="489"/>
      <c r="F49" s="489"/>
      <c r="G49" s="489"/>
      <c r="H49" s="489"/>
      <c r="I49" s="489"/>
    </row>
    <row r="51" spans="2:9" ht="26.45" customHeight="1">
      <c r="B51" s="489" t="s">
        <v>172</v>
      </c>
      <c r="C51" s="489"/>
      <c r="D51" s="489"/>
      <c r="E51" s="489"/>
      <c r="F51" s="489"/>
      <c r="G51" s="489"/>
      <c r="H51" s="489"/>
      <c r="I51" s="489"/>
    </row>
  </sheetData>
  <mergeCells count="19">
    <mergeCell ref="B46:I46"/>
    <mergeCell ref="E40:F40"/>
    <mergeCell ref="H44:I44"/>
    <mergeCell ref="B51:I51"/>
    <mergeCell ref="C28:E28"/>
    <mergeCell ref="C30:E30"/>
    <mergeCell ref="C32:E32"/>
    <mergeCell ref="F38:G38"/>
    <mergeCell ref="C34:E34"/>
    <mergeCell ref="H40:I40"/>
    <mergeCell ref="E37:E39"/>
    <mergeCell ref="B49:I49"/>
    <mergeCell ref="B3:C3"/>
    <mergeCell ref="C26:E26"/>
    <mergeCell ref="H5:I5"/>
    <mergeCell ref="C8:E8"/>
    <mergeCell ref="C15:E15"/>
    <mergeCell ref="B17:E17"/>
    <mergeCell ref="G17:I17"/>
  </mergeCells>
  <printOptions horizontalCentered="1" verticalCentered="1"/>
  <pageMargins left="0.39370078740157483" right="0.39370078740157483" top="0.68" bottom="0.63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defaultRowHeight="14.25"/>
  <cols>
    <col min="1" max="1" width="9.5" customWidth="1"/>
    <col min="2" max="2" width="24.296875" customWidth="1"/>
    <col min="3" max="3" width="22.5" customWidth="1"/>
    <col min="4" max="4" width="18" customWidth="1"/>
  </cols>
  <sheetData>
    <row r="1" spans="1:4" ht="28.15" customHeight="1">
      <c r="A1" s="406" t="s">
        <v>122</v>
      </c>
      <c r="B1" s="406"/>
      <c r="C1" s="406"/>
      <c r="D1" s="406"/>
    </row>
    <row r="2" spans="1:4" ht="15">
      <c r="A2" s="267"/>
      <c r="B2" s="267" t="s">
        <v>95</v>
      </c>
      <c r="C2" s="403"/>
      <c r="D2" s="403"/>
    </row>
    <row r="3" spans="1:4">
      <c r="A3" s="267"/>
      <c r="B3" s="267" t="s">
        <v>96</v>
      </c>
      <c r="C3" s="404" t="s">
        <v>150</v>
      </c>
      <c r="D3" s="404"/>
    </row>
    <row r="4" spans="1:4">
      <c r="A4" s="268"/>
      <c r="B4" s="268"/>
      <c r="C4" s="269"/>
      <c r="D4" s="266"/>
    </row>
    <row r="5" spans="1:4">
      <c r="A5" s="405" t="s">
        <v>97</v>
      </c>
      <c r="B5" s="405"/>
      <c r="C5" s="405"/>
      <c r="D5" s="266"/>
    </row>
    <row r="6" spans="1:4" ht="15" customHeight="1">
      <c r="A6" s="270" t="s">
        <v>98</v>
      </c>
      <c r="B6" s="407" t="s">
        <v>99</v>
      </c>
      <c r="C6" s="408"/>
      <c r="D6" s="370"/>
    </row>
    <row r="7" spans="1:4" ht="15">
      <c r="A7" s="270" t="s">
        <v>100</v>
      </c>
      <c r="B7" s="407" t="s">
        <v>101</v>
      </c>
      <c r="C7" s="408"/>
      <c r="D7" s="271" t="s">
        <v>125</v>
      </c>
    </row>
    <row r="8" spans="1:4" ht="15" customHeight="1">
      <c r="A8" s="270" t="s">
        <v>102</v>
      </c>
      <c r="B8" s="407" t="s">
        <v>103</v>
      </c>
      <c r="C8" s="408"/>
      <c r="D8" s="371">
        <v>2020</v>
      </c>
    </row>
    <row r="9" spans="1:4" ht="15" customHeight="1">
      <c r="A9" s="270" t="s">
        <v>104</v>
      </c>
      <c r="B9" s="407" t="s">
        <v>105</v>
      </c>
      <c r="C9" s="408"/>
      <c r="D9" s="272">
        <v>12</v>
      </c>
    </row>
    <row r="10" spans="1:4" ht="15">
      <c r="A10" s="270" t="s">
        <v>106</v>
      </c>
      <c r="B10" s="407" t="s">
        <v>107</v>
      </c>
      <c r="C10" s="408"/>
      <c r="D10" s="272" t="s">
        <v>175</v>
      </c>
    </row>
    <row r="11" spans="1:4" ht="15">
      <c r="A11" s="273"/>
      <c r="B11" s="268"/>
      <c r="C11" s="274"/>
      <c r="D11" s="266"/>
    </row>
    <row r="12" spans="1:4" ht="38.450000000000003" customHeight="1">
      <c r="A12" s="402" t="s">
        <v>124</v>
      </c>
      <c r="B12" s="402"/>
      <c r="C12" s="402"/>
      <c r="D12" s="402"/>
    </row>
    <row r="13" spans="1:4">
      <c r="A13" s="275"/>
      <c r="B13" s="275"/>
      <c r="C13" s="275"/>
      <c r="D13" s="275"/>
    </row>
    <row r="14" spans="1:4">
      <c r="A14" s="277"/>
      <c r="B14" s="277"/>
      <c r="C14" s="277"/>
      <c r="D14" s="266"/>
    </row>
    <row r="15" spans="1:4" ht="15">
      <c r="B15" s="278"/>
      <c r="C15" s="278"/>
      <c r="D15" s="278"/>
    </row>
    <row r="16" spans="1:4" ht="15">
      <c r="A16" s="279"/>
      <c r="B16" s="279"/>
      <c r="C16" s="280"/>
      <c r="D16" s="281"/>
    </row>
  </sheetData>
  <mergeCells count="10">
    <mergeCell ref="A12:D12"/>
    <mergeCell ref="C2:D2"/>
    <mergeCell ref="C3:D3"/>
    <mergeCell ref="A5:C5"/>
    <mergeCell ref="A1:D1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topLeftCell="A4" zoomScaleNormal="100" workbookViewId="0">
      <selection activeCell="F21" sqref="F21"/>
    </sheetView>
  </sheetViews>
  <sheetFormatPr defaultColWidth="8.69921875" defaultRowHeight="15"/>
  <cols>
    <col min="1" max="1" width="2.09765625" style="179" bestFit="1" customWidth="1"/>
    <col min="2" max="2" width="4.296875" style="181" bestFit="1" customWidth="1"/>
    <col min="3" max="3" width="26.5" style="179" customWidth="1"/>
    <col min="4" max="4" width="10.59765625" style="179" customWidth="1"/>
    <col min="5" max="5" width="9.8984375" style="179" customWidth="1"/>
    <col min="6" max="6" width="11.69921875" style="179" customWidth="1"/>
    <col min="7" max="7" width="9.59765625" style="179" customWidth="1"/>
    <col min="8" max="8" width="32.5" style="179" hidden="1" customWidth="1"/>
    <col min="9" max="9" width="6.796875" style="179" customWidth="1"/>
    <col min="10" max="10" width="7.3984375" style="179" bestFit="1" customWidth="1"/>
    <col min="11" max="12" width="6.5" style="179" bestFit="1" customWidth="1"/>
    <col min="13" max="13" width="7.3984375" style="179" customWidth="1"/>
    <col min="14" max="16384" width="8.69921875" style="179"/>
  </cols>
  <sheetData>
    <row r="2" spans="1:14" ht="18">
      <c r="B2" s="180" t="str">
        <f>[1]Índice!B1</f>
        <v>SERVIÇO DE INSEMINAÇÃO ARTIFICIAL (IA) EM BOVINOS LEITEIROS</v>
      </c>
      <c r="C2" s="290"/>
      <c r="D2" s="290"/>
      <c r="E2" s="290"/>
      <c r="F2" s="290"/>
      <c r="G2" s="290"/>
    </row>
    <row r="3" spans="1:14" ht="18">
      <c r="B3" s="180"/>
      <c r="C3" s="290"/>
      <c r="D3" s="290"/>
      <c r="E3" s="290"/>
      <c r="F3" s="290"/>
      <c r="G3" s="290"/>
    </row>
    <row r="4" spans="1:14" ht="18">
      <c r="B4" s="409" t="s">
        <v>129</v>
      </c>
      <c r="C4" s="409"/>
      <c r="D4" s="409"/>
      <c r="E4" s="409"/>
      <c r="F4" s="409"/>
      <c r="G4" s="290"/>
    </row>
    <row r="5" spans="1:14" ht="15.75" thickBot="1">
      <c r="C5" s="290"/>
      <c r="D5" s="290"/>
      <c r="E5" s="290"/>
      <c r="F5" s="290"/>
      <c r="G5" s="290"/>
    </row>
    <row r="6" spans="1:14">
      <c r="A6" s="45"/>
      <c r="B6" s="182" t="s">
        <v>130</v>
      </c>
      <c r="C6" s="183" t="s">
        <v>176</v>
      </c>
      <c r="D6" s="184"/>
      <c r="E6" s="184"/>
      <c r="F6" s="184"/>
      <c r="G6" s="185"/>
      <c r="H6" s="204"/>
      <c r="I6" s="188"/>
      <c r="J6" s="188"/>
      <c r="K6" s="188"/>
      <c r="L6" s="188"/>
      <c r="M6" s="188"/>
      <c r="N6" s="186"/>
    </row>
    <row r="7" spans="1:14">
      <c r="A7" s="45"/>
      <c r="B7" s="187"/>
      <c r="C7" s="291"/>
      <c r="D7" s="291"/>
      <c r="E7" s="369"/>
      <c r="F7" s="205"/>
      <c r="G7" s="189"/>
      <c r="H7" s="285"/>
      <c r="I7" s="190"/>
      <c r="J7" s="190"/>
      <c r="K7" s="188"/>
      <c r="L7" s="188"/>
      <c r="M7" s="188"/>
      <c r="N7" s="186"/>
    </row>
    <row r="8" spans="1:14" ht="14.25" customHeight="1">
      <c r="A8" s="45"/>
      <c r="B8" s="410" t="s">
        <v>108</v>
      </c>
      <c r="C8" s="411"/>
      <c r="D8" s="415" t="s">
        <v>177</v>
      </c>
      <c r="E8" s="415"/>
      <c r="F8" s="415"/>
      <c r="G8" s="189"/>
      <c r="H8" s="285"/>
      <c r="I8" s="190"/>
      <c r="J8" s="190"/>
      <c r="K8" s="188"/>
      <c r="L8" s="188"/>
      <c r="M8" s="188"/>
      <c r="N8" s="186"/>
    </row>
    <row r="9" spans="1:14" ht="15" customHeight="1">
      <c r="A9" s="45"/>
      <c r="B9" s="410" t="s">
        <v>109</v>
      </c>
      <c r="C9" s="411"/>
      <c r="D9" s="417" t="s">
        <v>178</v>
      </c>
      <c r="E9" s="418"/>
      <c r="F9" s="418"/>
      <c r="G9" s="419"/>
      <c r="H9" s="285"/>
      <c r="I9" s="190"/>
      <c r="J9" s="190"/>
      <c r="K9" s="188"/>
      <c r="L9" s="188"/>
      <c r="M9" s="188"/>
      <c r="N9" s="186"/>
    </row>
    <row r="10" spans="1:14" ht="34.5" customHeight="1">
      <c r="A10" s="45"/>
      <c r="B10" s="410" t="s">
        <v>110</v>
      </c>
      <c r="C10" s="411"/>
      <c r="D10" s="416">
        <v>8000</v>
      </c>
      <c r="E10" s="416"/>
      <c r="F10" s="416"/>
      <c r="G10" s="191"/>
      <c r="H10" s="284"/>
      <c r="I10" s="287"/>
      <c r="J10" s="286"/>
      <c r="K10" s="188"/>
      <c r="L10" s="188"/>
      <c r="M10" s="188"/>
      <c r="N10" s="186"/>
    </row>
    <row r="11" spans="1:14" ht="14.25">
      <c r="A11" s="45"/>
      <c r="B11" s="412" t="s">
        <v>179</v>
      </c>
      <c r="C11" s="413"/>
      <c r="D11" s="413"/>
      <c r="E11" s="414"/>
      <c r="F11" s="305">
        <f>D10/365</f>
        <v>21.917808219178081</v>
      </c>
      <c r="G11" s="208"/>
    </row>
    <row r="12" spans="1:14">
      <c r="A12" s="45"/>
      <c r="B12" s="187"/>
      <c r="C12" s="421"/>
      <c r="D12" s="421"/>
      <c r="E12" s="421"/>
      <c r="F12" s="206"/>
      <c r="G12" s="191"/>
    </row>
    <row r="13" spans="1:14">
      <c r="A13" s="45"/>
      <c r="B13" s="187"/>
      <c r="C13" s="421"/>
      <c r="D13" s="421"/>
      <c r="E13" s="421"/>
      <c r="F13" s="206"/>
      <c r="G13" s="191"/>
    </row>
    <row r="14" spans="1:14" ht="15.75" thickBot="1">
      <c r="A14" s="45"/>
      <c r="B14" s="193"/>
      <c r="C14" s="422"/>
      <c r="D14" s="422"/>
      <c r="E14" s="422"/>
      <c r="F14" s="207"/>
      <c r="G14" s="209"/>
    </row>
    <row r="15" spans="1:14" ht="15.75" thickBot="1">
      <c r="A15" s="45"/>
      <c r="B15" s="194"/>
      <c r="C15" s="186"/>
      <c r="D15" s="186"/>
      <c r="E15" s="186"/>
      <c r="F15" s="186"/>
      <c r="G15" s="186"/>
    </row>
    <row r="16" spans="1:14" ht="15.75" thickBot="1">
      <c r="A16" s="45"/>
      <c r="B16" s="182" t="s">
        <v>131</v>
      </c>
      <c r="C16" s="183" t="s">
        <v>132</v>
      </c>
      <c r="D16" s="184"/>
      <c r="E16" s="184"/>
      <c r="F16" s="184"/>
      <c r="G16" s="185"/>
    </row>
    <row r="17" spans="1:14" ht="15.75" thickBot="1">
      <c r="A17" s="45"/>
      <c r="B17" s="187"/>
      <c r="C17" s="420" t="s">
        <v>66</v>
      </c>
      <c r="D17" s="420"/>
      <c r="E17" s="420"/>
      <c r="F17" s="310">
        <v>0.33333333333333331</v>
      </c>
      <c r="G17" s="191"/>
      <c r="H17" s="188"/>
      <c r="I17" s="195"/>
      <c r="J17" s="195"/>
      <c r="K17" s="196"/>
      <c r="L17" s="196"/>
      <c r="M17" s="198"/>
      <c r="N17" s="186"/>
    </row>
    <row r="18" spans="1:14">
      <c r="A18" s="45"/>
      <c r="B18" s="187"/>
      <c r="C18" s="420" t="s">
        <v>44</v>
      </c>
      <c r="D18" s="420"/>
      <c r="E18" s="420"/>
      <c r="F18" s="306">
        <f>SUM(F17:F17)</f>
        <v>0.33333333333333331</v>
      </c>
      <c r="G18" s="191"/>
      <c r="H18" s="188"/>
      <c r="I18" s="195"/>
      <c r="J18" s="195"/>
      <c r="K18" s="196"/>
      <c r="L18" s="196"/>
      <c r="M18" s="198"/>
      <c r="N18" s="186"/>
    </row>
    <row r="19" spans="1:14" ht="15.75" thickBot="1">
      <c r="A19" s="45"/>
      <c r="B19" s="199" t="s">
        <v>61</v>
      </c>
      <c r="C19" s="200"/>
      <c r="D19" s="200"/>
      <c r="E19" s="200"/>
      <c r="F19" s="307"/>
      <c r="G19" s="191"/>
      <c r="H19" s="188"/>
      <c r="I19" s="195"/>
      <c r="J19" s="195"/>
      <c r="K19" s="196"/>
      <c r="L19" s="196"/>
      <c r="M19" s="198"/>
      <c r="N19" s="186"/>
    </row>
    <row r="20" spans="1:14" thickBot="1">
      <c r="A20" s="45"/>
      <c r="B20" s="423" t="s">
        <v>62</v>
      </c>
      <c r="C20" s="420"/>
      <c r="D20" s="420"/>
      <c r="E20" s="420"/>
      <c r="F20" s="308">
        <v>365</v>
      </c>
      <c r="G20" s="191"/>
      <c r="H20" s="188"/>
      <c r="I20" s="195"/>
      <c r="J20" s="195"/>
      <c r="K20" s="196"/>
      <c r="L20" s="196"/>
      <c r="M20" s="198"/>
      <c r="N20" s="186"/>
    </row>
    <row r="21" spans="1:14" ht="14.25">
      <c r="A21" s="45"/>
      <c r="B21" s="423" t="s">
        <v>180</v>
      </c>
      <c r="C21" s="420"/>
      <c r="D21" s="420"/>
      <c r="E21" s="420"/>
      <c r="F21" s="307">
        <v>365</v>
      </c>
      <c r="G21" s="191"/>
      <c r="H21" s="188"/>
      <c r="I21" s="195"/>
      <c r="J21" s="195"/>
      <c r="K21" s="196"/>
      <c r="L21" s="196"/>
      <c r="M21" s="198"/>
      <c r="N21" s="186"/>
    </row>
    <row r="22" spans="1:14" thickBot="1">
      <c r="A22" s="45"/>
      <c r="B22" s="425" t="s">
        <v>63</v>
      </c>
      <c r="C22" s="426"/>
      <c r="D22" s="426"/>
      <c r="E22" s="426"/>
      <c r="F22" s="373">
        <f>(F21/12)-(52/12)</f>
        <v>26.083333333333336</v>
      </c>
      <c r="G22" s="209"/>
      <c r="H22" s="188"/>
      <c r="I22" s="195"/>
      <c r="J22" s="195"/>
      <c r="K22" s="196"/>
      <c r="L22" s="196"/>
      <c r="M22" s="198"/>
      <c r="N22" s="186"/>
    </row>
    <row r="23" spans="1:14" thickBot="1">
      <c r="A23" s="45"/>
      <c r="B23" s="425" t="s">
        <v>63</v>
      </c>
      <c r="C23" s="426"/>
      <c r="D23" s="426"/>
      <c r="E23" s="426"/>
      <c r="F23" s="309">
        <f>F22/12</f>
        <v>2.1736111111111112</v>
      </c>
      <c r="G23" s="209"/>
      <c r="H23" s="188"/>
      <c r="I23" s="195"/>
      <c r="J23" s="195"/>
      <c r="K23" s="196"/>
      <c r="L23" s="196"/>
      <c r="M23" s="198"/>
      <c r="N23" s="186"/>
    </row>
    <row r="24" spans="1:14">
      <c r="A24" s="45"/>
      <c r="B24" s="197"/>
      <c r="C24" s="192"/>
      <c r="D24" s="192"/>
      <c r="E24" s="192"/>
      <c r="F24" s="201"/>
      <c r="G24" s="186"/>
      <c r="H24" s="188"/>
      <c r="I24" s="195"/>
      <c r="J24" s="195"/>
      <c r="K24" s="196"/>
      <c r="L24" s="196"/>
      <c r="M24" s="198"/>
      <c r="N24" s="186"/>
    </row>
    <row r="25" spans="1:14">
      <c r="A25" s="45"/>
      <c r="B25" s="194"/>
      <c r="C25" s="202"/>
      <c r="D25" s="202"/>
      <c r="E25" s="202"/>
      <c r="F25" s="202"/>
      <c r="G25" s="203"/>
      <c r="H25" s="186"/>
      <c r="I25" s="186"/>
      <c r="J25" s="186"/>
      <c r="K25" s="186"/>
      <c r="L25" s="186"/>
      <c r="M25" s="186"/>
      <c r="N25" s="186"/>
    </row>
    <row r="27" spans="1:14">
      <c r="B27" s="295" t="s">
        <v>133</v>
      </c>
      <c r="C27" s="292"/>
      <c r="D27" s="292"/>
      <c r="E27" s="293"/>
      <c r="F27" s="293"/>
      <c r="G27" s="294"/>
      <c r="H27" s="290"/>
    </row>
    <row r="28" spans="1:14" ht="14.25">
      <c r="B28" s="291"/>
      <c r="C28" s="292"/>
      <c r="D28" s="292"/>
      <c r="E28" s="293"/>
      <c r="F28" s="293"/>
      <c r="G28" s="294"/>
      <c r="H28" s="311"/>
    </row>
    <row r="29" spans="1:14" ht="14.25">
      <c r="B29" s="424" t="s">
        <v>134</v>
      </c>
      <c r="C29" s="424"/>
      <c r="D29" s="424"/>
      <c r="E29" s="424"/>
      <c r="F29" s="424"/>
      <c r="G29" s="424"/>
      <c r="H29" s="424"/>
    </row>
    <row r="30" spans="1:14" ht="14.25">
      <c r="B30" s="424"/>
      <c r="C30" s="424"/>
      <c r="D30" s="424"/>
      <c r="E30" s="424"/>
      <c r="F30" s="424"/>
      <c r="G30" s="424"/>
      <c r="H30" s="424"/>
    </row>
    <row r="31" spans="1:14" ht="14.25">
      <c r="B31" s="424" t="s">
        <v>135</v>
      </c>
      <c r="C31" s="424"/>
      <c r="D31" s="424"/>
      <c r="E31" s="424"/>
      <c r="F31" s="424"/>
      <c r="G31" s="424"/>
      <c r="H31" s="424"/>
    </row>
    <row r="32" spans="1:14" ht="14.25">
      <c r="B32" s="424"/>
      <c r="C32" s="424"/>
      <c r="D32" s="424"/>
      <c r="E32" s="424"/>
      <c r="F32" s="424"/>
      <c r="G32" s="424"/>
      <c r="H32" s="424"/>
    </row>
  </sheetData>
  <mergeCells count="19">
    <mergeCell ref="B29:H30"/>
    <mergeCell ref="B31:H32"/>
    <mergeCell ref="C18:E18"/>
    <mergeCell ref="B21:E21"/>
    <mergeCell ref="B22:E22"/>
    <mergeCell ref="B23:E23"/>
    <mergeCell ref="C17:E17"/>
    <mergeCell ref="C12:E12"/>
    <mergeCell ref="C13:E13"/>
    <mergeCell ref="C14:E14"/>
    <mergeCell ref="B20:E20"/>
    <mergeCell ref="B4:F4"/>
    <mergeCell ref="B8:C8"/>
    <mergeCell ref="B9:C9"/>
    <mergeCell ref="B10:C10"/>
    <mergeCell ref="B11:E11"/>
    <mergeCell ref="D8:F8"/>
    <mergeCell ref="D10:F10"/>
    <mergeCell ref="D9:G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topLeftCell="A19" zoomScale="110" zoomScaleNormal="110" workbookViewId="0"/>
  </sheetViews>
  <sheetFormatPr defaultColWidth="8.796875" defaultRowHeight="14.25"/>
  <cols>
    <col min="1" max="1" width="6.796875" style="211" customWidth="1"/>
    <col min="2" max="2" width="1.8984375" style="211" bestFit="1" customWidth="1"/>
    <col min="3" max="3" width="52.5" style="211" customWidth="1"/>
    <col min="4" max="4" width="13.5" style="211" customWidth="1"/>
    <col min="5" max="6" width="8.796875" style="211" hidden="1" customWidth="1"/>
    <col min="7" max="16384" width="8.796875" style="211"/>
  </cols>
  <sheetData>
    <row r="1" spans="2:6" ht="15">
      <c r="B1" s="427" t="str">
        <f>Índice!B2</f>
        <v xml:space="preserve">INSEMINAÇÃO ARTIFICIAL </v>
      </c>
      <c r="C1" s="428"/>
      <c r="D1" s="429"/>
      <c r="E1" s="251"/>
      <c r="F1" s="251"/>
    </row>
    <row r="2" spans="2:6">
      <c r="B2" s="251"/>
      <c r="C2" s="251"/>
      <c r="D2" s="251"/>
      <c r="E2" s="251"/>
      <c r="F2" s="251"/>
    </row>
    <row r="3" spans="2:6" ht="15.75">
      <c r="B3" s="252"/>
      <c r="C3" s="433" t="s">
        <v>157</v>
      </c>
      <c r="D3" s="433"/>
      <c r="E3" s="251"/>
      <c r="F3" s="251"/>
    </row>
    <row r="4" spans="2:6">
      <c r="B4" s="252"/>
      <c r="C4" s="253" t="s">
        <v>45</v>
      </c>
      <c r="D4" s="253" t="s">
        <v>46</v>
      </c>
      <c r="E4" s="251"/>
      <c r="F4" s="251"/>
    </row>
    <row r="5" spans="2:6">
      <c r="B5" s="252"/>
      <c r="C5" s="254"/>
      <c r="D5" s="253" t="s">
        <v>47</v>
      </c>
      <c r="E5" s="251"/>
      <c r="F5" s="251"/>
    </row>
    <row r="6" spans="2:6" ht="15.75">
      <c r="B6" s="252"/>
      <c r="C6" s="433" t="s">
        <v>48</v>
      </c>
      <c r="D6" s="433"/>
      <c r="E6" s="251"/>
      <c r="F6" s="251"/>
    </row>
    <row r="7" spans="2:6">
      <c r="B7" s="252"/>
      <c r="C7" s="434" t="s">
        <v>49</v>
      </c>
      <c r="D7" s="434"/>
      <c r="E7" s="251"/>
      <c r="F7" s="251"/>
    </row>
    <row r="8" spans="2:6">
      <c r="B8" s="255">
        <v>1</v>
      </c>
      <c r="C8" s="256" t="s">
        <v>75</v>
      </c>
      <c r="D8" s="257">
        <v>0.2</v>
      </c>
      <c r="E8" s="251"/>
      <c r="F8" s="251"/>
    </row>
    <row r="9" spans="2:6">
      <c r="B9" s="255">
        <v>2</v>
      </c>
      <c r="C9" s="256" t="s">
        <v>76</v>
      </c>
      <c r="D9" s="257">
        <v>0.08</v>
      </c>
      <c r="E9" s="251"/>
      <c r="F9" s="251"/>
    </row>
    <row r="10" spans="2:6">
      <c r="B10" s="255">
        <v>3</v>
      </c>
      <c r="C10" s="256" t="s">
        <v>77</v>
      </c>
      <c r="D10" s="257">
        <v>2.5000000000000001E-2</v>
      </c>
      <c r="E10" s="251"/>
      <c r="F10" s="251"/>
    </row>
    <row r="11" spans="2:6">
      <c r="B11" s="255">
        <v>4</v>
      </c>
      <c r="C11" s="256" t="s">
        <v>78</v>
      </c>
      <c r="D11" s="257">
        <v>0.01</v>
      </c>
      <c r="E11" s="251"/>
      <c r="F11" s="251"/>
    </row>
    <row r="12" spans="2:6">
      <c r="B12" s="255">
        <v>5</v>
      </c>
      <c r="C12" s="258" t="s">
        <v>71</v>
      </c>
      <c r="D12" s="257">
        <v>1.4999999999999999E-2</v>
      </c>
      <c r="E12" s="251"/>
      <c r="F12" s="251"/>
    </row>
    <row r="13" spans="2:6">
      <c r="B13" s="255">
        <v>6</v>
      </c>
      <c r="C13" s="258" t="s">
        <v>74</v>
      </c>
      <c r="D13" s="257">
        <v>2E-3</v>
      </c>
      <c r="E13" s="251"/>
      <c r="F13" s="251"/>
    </row>
    <row r="14" spans="2:6">
      <c r="B14" s="255">
        <v>7</v>
      </c>
      <c r="C14" s="258" t="s">
        <v>73</v>
      </c>
      <c r="D14" s="257">
        <v>6.0000000000000001E-3</v>
      </c>
      <c r="E14" s="251"/>
      <c r="F14" s="251"/>
    </row>
    <row r="15" spans="2:6">
      <c r="B15" s="255">
        <v>8</v>
      </c>
      <c r="C15" s="258" t="s">
        <v>72</v>
      </c>
      <c r="D15" s="257">
        <v>0.01</v>
      </c>
      <c r="E15" s="251"/>
      <c r="F15" s="251"/>
    </row>
    <row r="16" spans="2:6" ht="15">
      <c r="B16" s="255"/>
      <c r="C16" s="259" t="s">
        <v>50</v>
      </c>
      <c r="D16" s="260">
        <f>SUM(D8:D15)</f>
        <v>0.34800000000000009</v>
      </c>
      <c r="E16" s="251"/>
      <c r="F16" s="251"/>
    </row>
    <row r="17" spans="2:7" ht="28.5" customHeight="1">
      <c r="B17" s="255"/>
      <c r="C17" s="436" t="s">
        <v>90</v>
      </c>
      <c r="D17" s="436"/>
      <c r="E17" s="436"/>
      <c r="F17" s="436"/>
      <c r="G17" s="317"/>
    </row>
    <row r="18" spans="2:7" ht="32.450000000000003" customHeight="1">
      <c r="B18" s="255"/>
      <c r="C18" s="432" t="s">
        <v>126</v>
      </c>
      <c r="D18" s="432"/>
      <c r="E18" s="432"/>
      <c r="F18" s="432"/>
      <c r="G18" s="317"/>
    </row>
    <row r="19" spans="2:7" ht="15.75">
      <c r="B19" s="255"/>
      <c r="C19" s="433" t="s">
        <v>51</v>
      </c>
      <c r="D19" s="433"/>
      <c r="E19" s="251"/>
      <c r="F19" s="251"/>
    </row>
    <row r="20" spans="2:7">
      <c r="B20" s="255">
        <v>1</v>
      </c>
      <c r="C20" s="258" t="s">
        <v>79</v>
      </c>
      <c r="D20" s="262">
        <v>2.9999999999999997E-4</v>
      </c>
      <c r="E20" s="251"/>
      <c r="F20" s="251"/>
    </row>
    <row r="21" spans="2:7">
      <c r="B21" s="255">
        <v>2</v>
      </c>
      <c r="C21" s="258" t="s">
        <v>7</v>
      </c>
      <c r="D21" s="262">
        <v>2.7799999999999998E-2</v>
      </c>
      <c r="E21" s="251"/>
      <c r="F21" s="251"/>
    </row>
    <row r="22" spans="2:7">
      <c r="B22" s="255">
        <v>3</v>
      </c>
      <c r="C22" s="258" t="s">
        <v>80</v>
      </c>
      <c r="D22" s="262">
        <v>4.3499999999999997E-2</v>
      </c>
      <c r="E22" s="251"/>
      <c r="F22" s="251"/>
    </row>
    <row r="23" spans="2:7">
      <c r="B23" s="255">
        <v>4</v>
      </c>
      <c r="C23" s="258" t="s">
        <v>84</v>
      </c>
      <c r="D23" s="262">
        <f>ROUND(30/360,4)</f>
        <v>8.3299999999999999E-2</v>
      </c>
      <c r="E23" s="251"/>
      <c r="F23" s="251"/>
    </row>
    <row r="24" spans="2:7">
      <c r="B24" s="255">
        <v>5</v>
      </c>
      <c r="C24" s="258" t="s">
        <v>81</v>
      </c>
      <c r="D24" s="262">
        <v>1.9400000000000001E-2</v>
      </c>
      <c r="E24" s="251"/>
      <c r="F24" s="251"/>
    </row>
    <row r="25" spans="2:7">
      <c r="B25" s="255">
        <v>6</v>
      </c>
      <c r="C25" s="258" t="s">
        <v>82</v>
      </c>
      <c r="D25" s="262">
        <v>6.7999999999999996E-3</v>
      </c>
      <c r="E25" s="251"/>
      <c r="F25" s="251"/>
    </row>
    <row r="26" spans="2:7">
      <c r="B26" s="255">
        <v>7</v>
      </c>
      <c r="C26" s="258" t="s">
        <v>83</v>
      </c>
      <c r="D26" s="262">
        <v>0.05</v>
      </c>
      <c r="E26" s="251"/>
      <c r="F26" s="251"/>
    </row>
    <row r="27" spans="2:7">
      <c r="B27" s="255">
        <v>8</v>
      </c>
      <c r="C27" s="256" t="s">
        <v>147</v>
      </c>
      <c r="D27" s="262">
        <v>4.1999999999999997E-3</v>
      </c>
      <c r="E27" s="251"/>
      <c r="F27" s="251"/>
    </row>
    <row r="28" spans="2:7" ht="15">
      <c r="B28" s="255"/>
      <c r="C28" s="259" t="s">
        <v>52</v>
      </c>
      <c r="D28" s="263">
        <f>SUM(D20:D27)</f>
        <v>0.23529999999999998</v>
      </c>
      <c r="E28" s="251"/>
      <c r="F28" s="251"/>
    </row>
    <row r="29" spans="2:7" ht="39.6" customHeight="1">
      <c r="B29" s="255"/>
      <c r="C29" s="435" t="s">
        <v>89</v>
      </c>
      <c r="D29" s="435"/>
      <c r="E29" s="251"/>
      <c r="F29" s="251"/>
    </row>
    <row r="30" spans="2:7" ht="30.6" customHeight="1">
      <c r="B30" s="255"/>
      <c r="C30" s="435" t="s">
        <v>91</v>
      </c>
      <c r="D30" s="435"/>
      <c r="E30" s="251"/>
      <c r="F30" s="251"/>
    </row>
    <row r="31" spans="2:7" ht="42.75" customHeight="1">
      <c r="B31" s="255"/>
      <c r="C31" s="432" t="s">
        <v>145</v>
      </c>
      <c r="D31" s="432"/>
      <c r="E31" s="432"/>
      <c r="F31" s="432"/>
      <c r="G31" s="317"/>
    </row>
    <row r="32" spans="2:7" ht="17.45" customHeight="1">
      <c r="B32" s="255"/>
      <c r="C32" s="430" t="s">
        <v>146</v>
      </c>
      <c r="D32" s="431"/>
      <c r="E32" s="261"/>
      <c r="F32" s="261"/>
    </row>
    <row r="33" spans="2:7" ht="15.75">
      <c r="B33" s="255"/>
      <c r="C33" s="433" t="s">
        <v>53</v>
      </c>
      <c r="D33" s="433"/>
      <c r="E33" s="251"/>
      <c r="F33" s="251"/>
    </row>
    <row r="34" spans="2:7">
      <c r="B34" s="255"/>
      <c r="C34" s="434" t="s">
        <v>85</v>
      </c>
      <c r="D34" s="434"/>
      <c r="E34" s="251"/>
      <c r="F34" s="251"/>
    </row>
    <row r="35" spans="2:7">
      <c r="B35" s="255">
        <v>1</v>
      </c>
      <c r="C35" s="258" t="s">
        <v>7</v>
      </c>
      <c r="D35" s="262">
        <v>8.3299999999999999E-2</v>
      </c>
      <c r="E35" s="251"/>
      <c r="F35" s="251"/>
    </row>
    <row r="36" spans="2:7">
      <c r="B36" s="255">
        <v>2</v>
      </c>
      <c r="C36" s="258" t="s">
        <v>85</v>
      </c>
      <c r="D36" s="264">
        <v>1.66E-2</v>
      </c>
      <c r="E36" s="251"/>
      <c r="F36" s="251"/>
    </row>
    <row r="37" spans="2:7">
      <c r="B37" s="255">
        <v>3</v>
      </c>
      <c r="C37" s="258" t="s">
        <v>87</v>
      </c>
      <c r="D37" s="264">
        <v>2.9999999999999997E-4</v>
      </c>
      <c r="E37" s="251"/>
      <c r="F37" s="251"/>
    </row>
    <row r="38" spans="2:7">
      <c r="B38" s="255">
        <v>4</v>
      </c>
      <c r="C38" s="258" t="s">
        <v>88</v>
      </c>
      <c r="D38" s="264">
        <v>3.3999999999999998E-3</v>
      </c>
      <c r="E38" s="251"/>
      <c r="F38" s="251"/>
    </row>
    <row r="39" spans="2:7">
      <c r="B39" s="255">
        <v>5</v>
      </c>
      <c r="C39" s="258" t="s">
        <v>86</v>
      </c>
      <c r="D39" s="262">
        <v>4.1999999999999997E-3</v>
      </c>
      <c r="E39" s="251"/>
      <c r="F39" s="251"/>
    </row>
    <row r="40" spans="2:7" ht="15">
      <c r="B40" s="255"/>
      <c r="C40" s="259" t="s">
        <v>54</v>
      </c>
      <c r="D40" s="263">
        <f>SUM(D35:D39)</f>
        <v>0.10779999999999999</v>
      </c>
      <c r="E40" s="251"/>
      <c r="F40" s="251"/>
    </row>
    <row r="41" spans="2:7" ht="27" customHeight="1">
      <c r="B41" s="251"/>
      <c r="C41" s="432" t="s">
        <v>92</v>
      </c>
      <c r="D41" s="432"/>
      <c r="E41" s="432"/>
      <c r="F41" s="432"/>
      <c r="G41" s="317"/>
    </row>
    <row r="42" spans="2:7" ht="15.75">
      <c r="B42" s="251"/>
      <c r="C42" s="259" t="s">
        <v>55</v>
      </c>
      <c r="D42" s="265">
        <f>D16+D28+D40</f>
        <v>0.69110000000000005</v>
      </c>
      <c r="E42" s="251"/>
      <c r="F42" s="251"/>
    </row>
  </sheetData>
  <mergeCells count="14">
    <mergeCell ref="B1:D1"/>
    <mergeCell ref="C32:D32"/>
    <mergeCell ref="C41:F41"/>
    <mergeCell ref="C31:F31"/>
    <mergeCell ref="C33:D33"/>
    <mergeCell ref="C34:D34"/>
    <mergeCell ref="C3:D3"/>
    <mergeCell ref="C6:D6"/>
    <mergeCell ref="C7:D7"/>
    <mergeCell ref="C19:D19"/>
    <mergeCell ref="C29:D29"/>
    <mergeCell ref="C30:D30"/>
    <mergeCell ref="C17:F17"/>
    <mergeCell ref="C18:F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showGridLines="0" topLeftCell="A10" zoomScaleNormal="100" workbookViewId="0">
      <selection activeCell="E29" sqref="E29"/>
    </sheetView>
  </sheetViews>
  <sheetFormatPr defaultColWidth="8.69921875" defaultRowHeight="12.75"/>
  <cols>
    <col min="1" max="1" width="3.59765625" style="3" bestFit="1" customWidth="1"/>
    <col min="2" max="2" width="5" style="3" customWidth="1"/>
    <col min="3" max="3" width="30.5" style="3" customWidth="1"/>
    <col min="4" max="5" width="11.59765625" style="3" customWidth="1"/>
    <col min="6" max="6" width="10.59765625" style="3" bestFit="1" customWidth="1"/>
    <col min="7" max="7" width="2.3984375" style="5" hidden="1" customWidth="1"/>
    <col min="8" max="8" width="2.19921875" style="3" hidden="1" customWidth="1"/>
    <col min="9" max="9" width="49.5" style="3" bestFit="1" customWidth="1"/>
    <col min="10" max="10" width="8.296875" style="3" bestFit="1" customWidth="1"/>
    <col min="11" max="16384" width="8.69921875" style="3"/>
  </cols>
  <sheetData>
    <row r="1" spans="1:9" ht="18">
      <c r="B1" s="210" t="str">
        <f>[1]Índice!B1</f>
        <v>SERVIÇO DE INSEMINAÇÃO ARTIFICIAL (IA) EM BOVINOS LEITEIROS</v>
      </c>
      <c r="C1" s="288"/>
      <c r="D1" s="288"/>
      <c r="E1" s="288"/>
      <c r="F1" s="288"/>
    </row>
    <row r="2" spans="1:9" ht="18">
      <c r="B2" s="210"/>
      <c r="C2" s="288"/>
      <c r="D2" s="288"/>
      <c r="E2" s="288"/>
      <c r="F2" s="288"/>
    </row>
    <row r="3" spans="1:9" ht="18">
      <c r="B3" s="18" t="s">
        <v>213</v>
      </c>
      <c r="C3" s="288"/>
      <c r="D3" s="288"/>
      <c r="E3" s="288"/>
      <c r="F3" s="288"/>
    </row>
    <row r="4" spans="1:9" ht="18">
      <c r="B4" s="4"/>
      <c r="C4" s="288"/>
      <c r="D4" s="288"/>
      <c r="E4" s="288"/>
      <c r="F4" s="288"/>
    </row>
    <row r="5" spans="1:9" ht="15.75">
      <c r="A5" s="19"/>
      <c r="B5" s="20" t="s">
        <v>214</v>
      </c>
      <c r="C5" s="288"/>
      <c r="D5" s="288"/>
      <c r="E5" s="6"/>
      <c r="F5" s="288"/>
      <c r="I5" s="37"/>
    </row>
    <row r="6" spans="1:9" ht="15.75">
      <c r="A6" s="19"/>
      <c r="B6" s="440"/>
      <c r="C6" s="440"/>
      <c r="D6" s="440"/>
      <c r="E6" s="440"/>
      <c r="F6" s="288"/>
      <c r="I6" s="37"/>
    </row>
    <row r="7" spans="1:9" ht="15.75">
      <c r="A7" s="19"/>
      <c r="B7" s="441" t="s">
        <v>111</v>
      </c>
      <c r="C7" s="441"/>
      <c r="D7" s="441"/>
      <c r="E7" s="441"/>
      <c r="F7" s="288"/>
      <c r="I7" s="37"/>
    </row>
    <row r="8" spans="1:9" ht="15.75">
      <c r="A8" s="19"/>
      <c r="B8" s="447" t="s">
        <v>181</v>
      </c>
      <c r="C8" s="447"/>
      <c r="D8" s="447"/>
      <c r="E8" s="447"/>
      <c r="F8" s="447"/>
      <c r="I8" s="37"/>
    </row>
    <row r="9" spans="1:9" ht="26.45" customHeight="1">
      <c r="A9" s="19"/>
      <c r="B9" s="270">
        <v>1</v>
      </c>
      <c r="C9" s="282" t="s">
        <v>112</v>
      </c>
      <c r="D9" s="449" t="s">
        <v>182</v>
      </c>
      <c r="E9" s="450"/>
      <c r="F9" s="451"/>
      <c r="I9" s="37"/>
    </row>
    <row r="10" spans="1:9" ht="28.5">
      <c r="A10" s="19"/>
      <c r="B10" s="270">
        <v>2</v>
      </c>
      <c r="C10" s="267" t="s">
        <v>113</v>
      </c>
      <c r="D10" s="448" t="s">
        <v>183</v>
      </c>
      <c r="E10" s="448"/>
      <c r="F10" s="448"/>
      <c r="I10" s="37"/>
    </row>
    <row r="11" spans="1:9" ht="34.5" customHeight="1">
      <c r="A11" s="19"/>
      <c r="B11" s="276">
        <v>3</v>
      </c>
      <c r="C11" s="267" t="s">
        <v>114</v>
      </c>
      <c r="D11" s="442" t="s">
        <v>184</v>
      </c>
      <c r="E11" s="442"/>
      <c r="F11" s="442"/>
      <c r="I11" s="37"/>
    </row>
    <row r="12" spans="1:9" ht="15.75" customHeight="1">
      <c r="A12" s="19"/>
      <c r="B12" s="276">
        <v>4</v>
      </c>
      <c r="C12" s="267" t="s">
        <v>115</v>
      </c>
      <c r="D12" s="443" t="s">
        <v>185</v>
      </c>
      <c r="E12" s="443"/>
      <c r="F12" s="443"/>
      <c r="I12" s="37"/>
    </row>
    <row r="13" spans="1:9" ht="15.75">
      <c r="A13" s="19"/>
      <c r="B13" s="276">
        <v>5</v>
      </c>
      <c r="C13" s="267" t="s">
        <v>116</v>
      </c>
      <c r="D13" s="445"/>
      <c r="E13" s="446"/>
      <c r="F13" s="446"/>
      <c r="I13" s="37"/>
    </row>
    <row r="14" spans="1:9" s="288" customFormat="1" ht="15.75">
      <c r="A14" s="19"/>
      <c r="B14" s="374"/>
      <c r="C14" s="375"/>
      <c r="D14" s="376"/>
      <c r="E14" s="377"/>
      <c r="F14" s="377"/>
      <c r="G14" s="289"/>
      <c r="I14" s="37"/>
    </row>
    <row r="15" spans="1:9" s="288" customFormat="1" ht="15.75">
      <c r="A15" s="19"/>
      <c r="B15" s="444" t="s">
        <v>117</v>
      </c>
      <c r="C15" s="444"/>
      <c r="D15" s="444"/>
      <c r="E15" s="444"/>
      <c r="F15" s="444"/>
      <c r="G15" s="289"/>
      <c r="I15" s="37"/>
    </row>
    <row r="16" spans="1:9" s="288" customFormat="1" ht="15.75">
      <c r="A16" s="19"/>
      <c r="B16" s="437" t="s">
        <v>118</v>
      </c>
      <c r="C16" s="437"/>
      <c r="D16" s="437"/>
      <c r="E16" s="437"/>
      <c r="F16" s="437"/>
      <c r="G16" s="289"/>
      <c r="I16" s="37"/>
    </row>
    <row r="17" spans="1:9" s="288" customFormat="1" ht="16.5" thickBot="1">
      <c r="A17" s="19"/>
      <c r="G17" s="289"/>
      <c r="I17" s="37"/>
    </row>
    <row r="18" spans="1:9" s="288" customFormat="1" ht="15.75">
      <c r="A18" s="19"/>
      <c r="B18" s="21" t="s">
        <v>215</v>
      </c>
      <c r="C18" s="438" t="s">
        <v>186</v>
      </c>
      <c r="D18" s="438"/>
      <c r="E18" s="438"/>
      <c r="F18" s="7"/>
      <c r="G18" s="289"/>
      <c r="I18" s="37"/>
    </row>
    <row r="19" spans="1:9" s="288" customFormat="1" ht="24" customHeight="1">
      <c r="A19" s="19"/>
      <c r="B19" s="8"/>
      <c r="C19" s="2" t="s">
        <v>20</v>
      </c>
      <c r="D19" s="43">
        <v>3</v>
      </c>
      <c r="E19" s="10"/>
      <c r="F19" s="11"/>
      <c r="G19" s="289"/>
      <c r="I19" s="37"/>
    </row>
    <row r="20" spans="1:9" s="288" customFormat="1" ht="15.75">
      <c r="A20" s="19"/>
      <c r="B20" s="8"/>
      <c r="C20" s="2" t="s">
        <v>187</v>
      </c>
      <c r="D20" s="43">
        <f>'[1]2-Dimensionamento'!M15-'[1]2-Dimensionamento'!I15</f>
        <v>0</v>
      </c>
      <c r="E20" s="10"/>
      <c r="F20" s="11"/>
      <c r="G20" s="289"/>
      <c r="I20" s="37"/>
    </row>
    <row r="21" spans="1:9" s="288" customFormat="1" ht="16.5" thickBot="1">
      <c r="A21" s="19"/>
      <c r="B21" s="8"/>
      <c r="C21" s="2" t="s">
        <v>6</v>
      </c>
      <c r="D21" s="44">
        <f>ROUNDUP(D19+D20,0)</f>
        <v>3</v>
      </c>
      <c r="E21" s="10"/>
      <c r="F21" s="11"/>
      <c r="G21" s="289"/>
      <c r="I21" s="37"/>
    </row>
    <row r="22" spans="1:9" s="288" customFormat="1" ht="16.5" thickBot="1">
      <c r="A22" s="19"/>
      <c r="B22" s="8"/>
      <c r="C22" s="2" t="s">
        <v>1</v>
      </c>
      <c r="D22" s="378">
        <f>(1453.34+1297.12+1688.44)/3</f>
        <v>1479.6333333333332</v>
      </c>
      <c r="E22" s="22" t="s">
        <v>140</v>
      </c>
      <c r="F22" s="312">
        <v>1045</v>
      </c>
      <c r="G22" s="289"/>
      <c r="I22" s="37"/>
    </row>
    <row r="23" spans="1:9" s="288" customFormat="1" ht="16.5" thickBot="1">
      <c r="A23" s="19"/>
      <c r="B23" s="8"/>
      <c r="C23" s="2" t="s">
        <v>2</v>
      </c>
      <c r="D23" s="23">
        <v>44</v>
      </c>
      <c r="E23" s="25"/>
      <c r="F23" s="33"/>
      <c r="G23" s="289"/>
      <c r="I23" s="37"/>
    </row>
    <row r="24" spans="1:9" s="288" customFormat="1" ht="15.75">
      <c r="A24" s="19"/>
      <c r="B24" s="8"/>
      <c r="C24" s="2" t="s">
        <v>5</v>
      </c>
      <c r="D24" s="24">
        <f>D23/6*30</f>
        <v>220</v>
      </c>
      <c r="E24" s="24"/>
      <c r="F24" s="33"/>
      <c r="G24" s="289"/>
      <c r="I24" s="37"/>
    </row>
    <row r="25" spans="1:9" s="288" customFormat="1" ht="16.5" thickBot="1">
      <c r="A25" s="19"/>
      <c r="B25" s="8"/>
      <c r="C25" s="25"/>
      <c r="D25" s="26" t="s">
        <v>3</v>
      </c>
      <c r="E25" s="27" t="s">
        <v>4</v>
      </c>
      <c r="F25" s="28" t="s">
        <v>0</v>
      </c>
      <c r="G25" s="289"/>
      <c r="I25" s="37"/>
    </row>
    <row r="26" spans="1:9" s="288" customFormat="1" ht="15.75" customHeight="1" thickBot="1">
      <c r="A26" s="19"/>
      <c r="B26" s="8"/>
      <c r="C26" s="2" t="s">
        <v>12</v>
      </c>
      <c r="D26" s="313">
        <v>0</v>
      </c>
      <c r="E26" s="24">
        <f>D22/D24*2</f>
        <v>13.451212121212119</v>
      </c>
      <c r="F26" s="29">
        <f>D26*E26</f>
        <v>0</v>
      </c>
      <c r="G26" s="289"/>
      <c r="I26" s="37"/>
    </row>
    <row r="27" spans="1:9" s="288" customFormat="1" ht="16.5" thickBot="1">
      <c r="A27" s="19"/>
      <c r="B27" s="8"/>
      <c r="C27" s="2" t="s">
        <v>17</v>
      </c>
      <c r="D27" s="314">
        <v>0</v>
      </c>
      <c r="E27" s="30">
        <f>D22/D24*1.5</f>
        <v>10.088409090909089</v>
      </c>
      <c r="F27" s="29">
        <f>D27*E27</f>
        <v>0</v>
      </c>
      <c r="G27" s="289"/>
      <c r="I27" s="37"/>
    </row>
    <row r="28" spans="1:9" s="288" customFormat="1" ht="16.5" thickBot="1">
      <c r="A28" s="19"/>
      <c r="B28" s="8"/>
      <c r="C28" s="2" t="s">
        <v>22</v>
      </c>
      <c r="D28" s="315">
        <v>0.2</v>
      </c>
      <c r="E28" s="25"/>
      <c r="F28" s="31">
        <f>D28*F22</f>
        <v>209</v>
      </c>
      <c r="G28" s="289"/>
      <c r="I28" s="37"/>
    </row>
    <row r="29" spans="1:9" ht="15.6" customHeight="1">
      <c r="A29" s="19"/>
      <c r="B29" s="8"/>
      <c r="C29" s="10"/>
      <c r="D29" s="10"/>
      <c r="E29" s="2" t="s">
        <v>9</v>
      </c>
      <c r="F29" s="31">
        <f>D22+F26+F27+F28</f>
        <v>1688.6333333333332</v>
      </c>
      <c r="I29" s="37"/>
    </row>
    <row r="30" spans="1:9" ht="15.6" customHeight="1">
      <c r="A30" s="19"/>
      <c r="B30" s="8"/>
      <c r="C30" s="2" t="s">
        <v>18</v>
      </c>
      <c r="D30" s="32">
        <f>'[1]5-Encargos Sociais'!D41</f>
        <v>0.69110000000000005</v>
      </c>
      <c r="E30" s="25"/>
      <c r="F30" s="31">
        <f>D30*F29</f>
        <v>1167.0144966666667</v>
      </c>
      <c r="I30" s="37"/>
    </row>
    <row r="31" spans="1:9" s="288" customFormat="1" ht="13.5" thickBot="1">
      <c r="B31" s="8"/>
      <c r="C31" s="10"/>
      <c r="D31" s="10"/>
      <c r="E31" s="2" t="s">
        <v>10</v>
      </c>
      <c r="F31" s="31">
        <f>F29+F30</f>
        <v>2855.6478299999999</v>
      </c>
      <c r="G31" s="289"/>
    </row>
    <row r="32" spans="1:9" s="288" customFormat="1" ht="13.5" thickBot="1">
      <c r="A32" s="45"/>
      <c r="B32" s="8"/>
      <c r="C32" s="2" t="s">
        <v>143</v>
      </c>
      <c r="D32" s="316"/>
      <c r="E32" s="2"/>
      <c r="F32" s="31"/>
      <c r="G32" s="289"/>
    </row>
    <row r="33" spans="1:7" s="288" customFormat="1" ht="13.5" thickBot="1">
      <c r="A33" s="45"/>
      <c r="B33" s="8"/>
      <c r="C33" s="2" t="s">
        <v>141</v>
      </c>
      <c r="D33" s="316"/>
      <c r="E33" s="2"/>
      <c r="F33" s="31">
        <f>((D33*30)*80%)</f>
        <v>0</v>
      </c>
      <c r="G33" s="12"/>
    </row>
    <row r="34" spans="1:7" s="288" customFormat="1" ht="14.25" customHeight="1" thickBot="1">
      <c r="A34" s="45"/>
      <c r="B34" s="8"/>
      <c r="C34" s="2" t="s">
        <v>142</v>
      </c>
      <c r="D34" s="316"/>
      <c r="E34" s="25"/>
      <c r="F34" s="29">
        <f>D34</f>
        <v>0</v>
      </c>
      <c r="G34" s="13"/>
    </row>
    <row r="35" spans="1:7" s="288" customFormat="1" ht="13.5" thickBot="1">
      <c r="A35" s="45"/>
      <c r="B35" s="8"/>
      <c r="C35" s="2" t="s">
        <v>188</v>
      </c>
      <c r="D35" s="316"/>
      <c r="E35" s="25"/>
      <c r="F35" s="29">
        <f>D35*80%</f>
        <v>0</v>
      </c>
      <c r="G35" s="289"/>
    </row>
    <row r="36" spans="1:7" s="288" customFormat="1" ht="13.5" thickBot="1">
      <c r="A36" s="45"/>
      <c r="B36" s="8"/>
      <c r="C36" s="2" t="s">
        <v>189</v>
      </c>
      <c r="D36" s="316"/>
      <c r="E36" s="25"/>
      <c r="F36" s="29">
        <f>D36</f>
        <v>0</v>
      </c>
      <c r="G36" s="289"/>
    </row>
    <row r="37" spans="1:7" s="288" customFormat="1" ht="13.5" thickBot="1">
      <c r="A37" s="45"/>
      <c r="B37" s="8"/>
      <c r="C37" s="10"/>
      <c r="D37" s="9"/>
      <c r="E37" s="2" t="s">
        <v>56</v>
      </c>
      <c r="F37" s="31">
        <f>SUM(F31:F36)</f>
        <v>2855.6478299999999</v>
      </c>
      <c r="G37" s="12"/>
    </row>
    <row r="38" spans="1:7" s="288" customFormat="1" ht="13.5" thickBot="1">
      <c r="A38" s="45"/>
      <c r="B38" s="14"/>
      <c r="C38" s="15"/>
      <c r="D38" s="15"/>
      <c r="E38" s="34" t="s">
        <v>11</v>
      </c>
      <c r="F38" s="35">
        <f>D21*F37</f>
        <v>8566.9434899999997</v>
      </c>
      <c r="G38" s="13"/>
    </row>
    <row r="39" spans="1:7" s="288" customFormat="1" ht="13.5" thickBot="1">
      <c r="A39" s="45"/>
      <c r="G39" s="13"/>
    </row>
    <row r="40" spans="1:7" s="288" customFormat="1" ht="15">
      <c r="A40" s="45"/>
      <c r="B40" s="439" t="s">
        <v>123</v>
      </c>
      <c r="C40" s="439"/>
      <c r="D40" s="439"/>
      <c r="E40" s="439"/>
      <c r="F40" s="439"/>
      <c r="G40" s="13"/>
    </row>
    <row r="41" spans="1:7" s="288" customFormat="1" ht="15">
      <c r="A41" s="45"/>
      <c r="B41" s="372"/>
      <c r="C41" s="372"/>
      <c r="D41" s="372"/>
      <c r="E41" s="372"/>
      <c r="F41" s="372"/>
      <c r="G41" s="13"/>
    </row>
    <row r="42" spans="1:7" s="288" customFormat="1" ht="18" customHeight="1">
      <c r="A42" s="45"/>
      <c r="B42" s="372"/>
      <c r="C42" s="372"/>
      <c r="D42" s="372"/>
      <c r="E42" s="372"/>
      <c r="F42" s="372"/>
      <c r="G42" s="13"/>
    </row>
    <row r="43" spans="1:7" s="288" customFormat="1" ht="14.25" customHeight="1">
      <c r="A43" s="45"/>
      <c r="B43" s="46" t="s">
        <v>23</v>
      </c>
      <c r="C43" s="38"/>
      <c r="D43" s="38"/>
      <c r="E43" s="39"/>
      <c r="F43" s="17"/>
      <c r="G43" s="13"/>
    </row>
    <row r="44" spans="1:7" s="288" customFormat="1" ht="14.25" customHeight="1">
      <c r="A44" s="45"/>
      <c r="B44" s="20" t="s">
        <v>216</v>
      </c>
      <c r="C44" s="36"/>
      <c r="D44" s="1">
        <f>SUM(D46:D46)</f>
        <v>8566.9434899999997</v>
      </c>
      <c r="E44" s="42">
        <f>D44/D$44</f>
        <v>1</v>
      </c>
      <c r="G44" s="16"/>
    </row>
    <row r="45" spans="1:7" s="288" customFormat="1" ht="14.25" customHeight="1">
      <c r="A45" s="45"/>
      <c r="B45" s="36"/>
      <c r="C45" s="36"/>
      <c r="D45" s="297"/>
      <c r="E45" s="42"/>
      <c r="G45" s="16"/>
    </row>
    <row r="46" spans="1:7" s="288" customFormat="1" ht="15" customHeight="1">
      <c r="A46" s="45"/>
      <c r="B46" s="40" t="s">
        <v>217</v>
      </c>
      <c r="C46" s="41" t="str">
        <f>C18</f>
        <v>INSEMINADOR ARTIFICIAL DE ANIMAIS</v>
      </c>
      <c r="D46" s="1">
        <f>F38</f>
        <v>8566.9434899999997</v>
      </c>
      <c r="E46" s="42">
        <f>D46/D$44</f>
        <v>1</v>
      </c>
      <c r="G46" s="289"/>
    </row>
    <row r="47" spans="1:7" s="288" customFormat="1">
      <c r="A47" s="45"/>
      <c r="B47" s="10"/>
      <c r="C47" s="10"/>
      <c r="D47" s="10"/>
      <c r="E47" s="2"/>
      <c r="F47" s="327"/>
      <c r="G47" s="289"/>
    </row>
    <row r="48" spans="1:7" s="288" customFormat="1">
      <c r="A48" s="45"/>
      <c r="B48" s="10"/>
      <c r="C48" s="10"/>
      <c r="D48" s="10"/>
      <c r="E48" s="2"/>
      <c r="F48" s="327"/>
      <c r="G48" s="289"/>
    </row>
    <row r="49" spans="1:8" s="288" customFormat="1" ht="14.25">
      <c r="A49" s="297" t="s">
        <v>133</v>
      </c>
      <c r="B49" s="296"/>
      <c r="C49" s="296"/>
      <c r="D49" s="296"/>
      <c r="E49" s="296"/>
      <c r="F49" s="296"/>
      <c r="G49" s="289"/>
    </row>
    <row r="50" spans="1:8" s="288" customFormat="1">
      <c r="A50" s="452"/>
      <c r="B50" s="452"/>
      <c r="C50" s="452"/>
      <c r="D50" s="452"/>
      <c r="E50" s="452"/>
      <c r="F50" s="452"/>
      <c r="G50" s="289"/>
    </row>
    <row r="51" spans="1:8" ht="13.15" customHeight="1">
      <c r="A51" s="452" t="s">
        <v>136</v>
      </c>
      <c r="B51" s="452"/>
      <c r="C51" s="452"/>
      <c r="D51" s="452"/>
      <c r="E51" s="452"/>
      <c r="F51" s="452"/>
      <c r="G51" s="289"/>
      <c r="H51" s="288"/>
    </row>
    <row r="52" spans="1:8">
      <c r="A52" s="452"/>
      <c r="B52" s="452"/>
      <c r="C52" s="452"/>
      <c r="D52" s="452"/>
      <c r="E52" s="452"/>
      <c r="F52" s="452"/>
      <c r="G52" s="289"/>
      <c r="H52" s="288"/>
    </row>
    <row r="53" spans="1:8" ht="13.15" customHeight="1">
      <c r="A53" s="452" t="s">
        <v>139</v>
      </c>
      <c r="B53" s="452"/>
      <c r="C53" s="452"/>
      <c r="D53" s="452"/>
      <c r="E53" s="452"/>
      <c r="F53" s="452"/>
      <c r="G53" s="289"/>
      <c r="H53" s="288"/>
    </row>
    <row r="54" spans="1:8">
      <c r="A54" s="452"/>
      <c r="B54" s="452"/>
      <c r="C54" s="452"/>
      <c r="D54" s="452"/>
      <c r="E54" s="452"/>
      <c r="F54" s="452"/>
      <c r="G54" s="289"/>
      <c r="H54" s="288"/>
    </row>
    <row r="55" spans="1:8" ht="13.15" customHeight="1">
      <c r="A55" s="452" t="s">
        <v>137</v>
      </c>
      <c r="B55" s="452"/>
      <c r="C55" s="452"/>
      <c r="D55" s="452"/>
      <c r="E55" s="452"/>
      <c r="F55" s="452"/>
      <c r="G55" s="289"/>
      <c r="H55" s="288"/>
    </row>
    <row r="56" spans="1:8">
      <c r="A56" s="452"/>
      <c r="B56" s="452"/>
      <c r="C56" s="452"/>
      <c r="D56" s="452"/>
      <c r="E56" s="452"/>
      <c r="F56" s="452"/>
      <c r="G56" s="289"/>
      <c r="H56" s="288"/>
    </row>
    <row r="57" spans="1:8" ht="14.45" customHeight="1">
      <c r="A57" s="452" t="s">
        <v>190</v>
      </c>
      <c r="B57" s="452"/>
      <c r="C57" s="452"/>
      <c r="D57" s="452"/>
      <c r="E57" s="452"/>
      <c r="F57" s="452"/>
      <c r="G57" s="289"/>
      <c r="H57" s="288"/>
    </row>
    <row r="58" spans="1:8">
      <c r="A58" s="299" t="s">
        <v>138</v>
      </c>
      <c r="B58" s="298"/>
      <c r="C58" s="298"/>
      <c r="D58" s="298"/>
      <c r="E58" s="298"/>
      <c r="F58" s="298"/>
      <c r="G58" s="289"/>
      <c r="H58" s="288"/>
    </row>
    <row r="59" spans="1:8" ht="46.15" customHeight="1">
      <c r="A59" s="453" t="s">
        <v>191</v>
      </c>
      <c r="B59" s="453"/>
      <c r="C59" s="453"/>
      <c r="D59" s="453"/>
      <c r="E59" s="453"/>
      <c r="F59" s="453"/>
    </row>
  </sheetData>
  <mergeCells count="18">
    <mergeCell ref="A50:F50"/>
    <mergeCell ref="A59:F59"/>
    <mergeCell ref="A57:F57"/>
    <mergeCell ref="A55:F56"/>
    <mergeCell ref="A53:F54"/>
    <mergeCell ref="A51:F52"/>
    <mergeCell ref="B16:F16"/>
    <mergeCell ref="C18:E18"/>
    <mergeCell ref="B40:F40"/>
    <mergeCell ref="B6:E6"/>
    <mergeCell ref="B7:E7"/>
    <mergeCell ref="D11:F11"/>
    <mergeCell ref="D12:F12"/>
    <mergeCell ref="B15:F15"/>
    <mergeCell ref="D13:F13"/>
    <mergeCell ref="B8:F8"/>
    <mergeCell ref="D10:F10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showGridLines="0" workbookViewId="0">
      <selection activeCell="E13" sqref="E13"/>
    </sheetView>
  </sheetViews>
  <sheetFormatPr defaultColWidth="8.796875" defaultRowHeight="14.25"/>
  <cols>
    <col min="1" max="1" width="2.09765625" style="47" bestFit="1" customWidth="1"/>
    <col min="2" max="2" width="38.19921875" style="47" bestFit="1" customWidth="1"/>
    <col min="3" max="3" width="11.69921875" style="246" bestFit="1" customWidth="1"/>
    <col min="4" max="4" width="2.5" style="47" customWidth="1"/>
    <col min="5" max="5" width="14.09765625" style="47" customWidth="1"/>
    <col min="6" max="6" width="10.796875" style="47" customWidth="1"/>
    <col min="7" max="16384" width="8.796875" style="47"/>
  </cols>
  <sheetData>
    <row r="2" spans="1:3" ht="18">
      <c r="B2" s="239" t="str">
        <f>Índice!B2</f>
        <v xml:space="preserve">INSEMINAÇÃO ARTIFICIAL </v>
      </c>
      <c r="C2" s="245"/>
    </row>
    <row r="3" spans="1:3" ht="15" thickBot="1"/>
    <row r="4" spans="1:3" ht="15">
      <c r="B4" s="454" t="s">
        <v>192</v>
      </c>
      <c r="C4" s="455"/>
    </row>
    <row r="5" spans="1:3" ht="15">
      <c r="B5" s="48" t="s">
        <v>28</v>
      </c>
      <c r="C5" s="247" t="s">
        <v>38</v>
      </c>
    </row>
    <row r="6" spans="1:3" ht="15.75" thickBot="1">
      <c r="B6" s="49"/>
      <c r="C6" s="248" t="s">
        <v>29</v>
      </c>
    </row>
    <row r="7" spans="1:3" ht="15" thickTop="1">
      <c r="A7" s="50"/>
      <c r="B7" s="51" t="s">
        <v>70</v>
      </c>
      <c r="C7" s="244">
        <v>350</v>
      </c>
    </row>
    <row r="8" spans="1:3" ht="38.25">
      <c r="A8" s="50"/>
      <c r="B8" s="51" t="s">
        <v>193</v>
      </c>
      <c r="C8" s="244">
        <f>1045*1.2</f>
        <v>1254</v>
      </c>
    </row>
    <row r="9" spans="1:3" ht="28.5">
      <c r="A9" s="50"/>
      <c r="B9" s="51" t="s">
        <v>194</v>
      </c>
      <c r="C9" s="244">
        <v>34.416666666666664</v>
      </c>
    </row>
    <row r="10" spans="1:3">
      <c r="A10" s="50"/>
      <c r="B10" s="51" t="s">
        <v>148</v>
      </c>
      <c r="C10" s="244">
        <v>1045</v>
      </c>
    </row>
    <row r="11" spans="1:3">
      <c r="A11" s="50"/>
      <c r="B11" s="51" t="s">
        <v>39</v>
      </c>
      <c r="C11" s="244">
        <v>100</v>
      </c>
    </row>
    <row r="12" spans="1:3">
      <c r="A12" s="50"/>
      <c r="B12" s="51" t="s">
        <v>40</v>
      </c>
      <c r="C12" s="244">
        <f>34.42+14.66</f>
        <v>49.08</v>
      </c>
    </row>
    <row r="13" spans="1:3" ht="15.75" thickBot="1">
      <c r="A13" s="50"/>
      <c r="B13" s="52" t="s">
        <v>8</v>
      </c>
      <c r="C13" s="53">
        <f>SUM(C7:C12)</f>
        <v>2832.4966666666669</v>
      </c>
    </row>
    <row r="14" spans="1:3">
      <c r="A14" s="50"/>
    </row>
    <row r="15" spans="1:3">
      <c r="A15" s="50"/>
    </row>
    <row r="16" spans="1:3">
      <c r="A16" s="50"/>
    </row>
    <row r="17" spans="1:5" ht="45.75" customHeight="1">
      <c r="A17" s="50"/>
      <c r="B17" s="456" t="s">
        <v>155</v>
      </c>
      <c r="C17" s="456"/>
    </row>
    <row r="18" spans="1:5">
      <c r="A18" s="50"/>
      <c r="B18" s="337"/>
      <c r="C18" s="338"/>
    </row>
    <row r="19" spans="1:5" ht="42" customHeight="1">
      <c r="A19" s="50"/>
      <c r="B19" s="456" t="s">
        <v>158</v>
      </c>
      <c r="C19" s="456"/>
    </row>
    <row r="20" spans="1:5">
      <c r="A20" s="50"/>
    </row>
    <row r="21" spans="1:5">
      <c r="A21" s="50"/>
    </row>
    <row r="22" spans="1:5">
      <c r="A22" s="50"/>
    </row>
    <row r="23" spans="1:5">
      <c r="A23" s="50"/>
    </row>
    <row r="24" spans="1:5">
      <c r="A24" s="50"/>
    </row>
    <row r="25" spans="1:5" ht="15">
      <c r="A25" s="50"/>
      <c r="E25" s="54"/>
    </row>
    <row r="28" spans="1:5" ht="0.6" customHeight="1"/>
    <row r="29" spans="1:5" ht="28.5" customHeight="1"/>
    <row r="31" spans="1:5" ht="33.75" customHeight="1"/>
  </sheetData>
  <mergeCells count="3">
    <mergeCell ref="B4:C4"/>
    <mergeCell ref="B17:C17"/>
    <mergeCell ref="B19:C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showGridLines="0" workbookViewId="0">
      <selection activeCell="D12" sqref="D12"/>
    </sheetView>
  </sheetViews>
  <sheetFormatPr defaultColWidth="8.796875" defaultRowHeight="14.25"/>
  <cols>
    <col min="1" max="1" width="2.09765625" style="214" bestFit="1" customWidth="1"/>
    <col min="2" max="2" width="27.296875" style="214" customWidth="1"/>
    <col min="3" max="3" width="9.8984375" style="214" customWidth="1"/>
    <col min="4" max="4" width="16.796875" style="214" customWidth="1"/>
    <col min="5" max="5" width="10.59765625" style="214" customWidth="1"/>
    <col min="6" max="6" width="13.69921875" style="214" customWidth="1"/>
    <col min="7" max="7" width="7.19921875" style="214" customWidth="1"/>
    <col min="8" max="8" width="10.19921875" style="214" hidden="1" customWidth="1"/>
    <col min="9" max="10" width="9.296875" style="214" hidden="1" customWidth="1"/>
    <col min="11" max="11" width="4.296875" style="214" customWidth="1"/>
    <col min="12" max="16384" width="8.796875" style="214"/>
  </cols>
  <sheetData>
    <row r="2" spans="1:12" ht="15.75">
      <c r="B2" s="363" t="str">
        <f>Índice!B2</f>
        <v xml:space="preserve">INSEMINAÇÃO ARTIFICIAL 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ht="16.5" thickBot="1">
      <c r="B3" s="363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.75" thickBot="1">
      <c r="B4" s="379" t="s">
        <v>218</v>
      </c>
      <c r="C4" s="380"/>
      <c r="D4" s="380"/>
      <c r="E4" s="383"/>
      <c r="F4" s="364"/>
      <c r="G4" s="364"/>
      <c r="H4" s="364"/>
      <c r="I4" s="364"/>
      <c r="J4" s="364"/>
      <c r="K4" s="364"/>
    </row>
    <row r="5" spans="1:12" ht="15">
      <c r="B5" s="216"/>
      <c r="C5" s="217" t="s">
        <v>15</v>
      </c>
      <c r="D5" s="218" t="s">
        <v>195</v>
      </c>
      <c r="E5" s="384">
        <v>2</v>
      </c>
      <c r="F5" s="364"/>
      <c r="G5" s="364"/>
      <c r="H5" s="364"/>
      <c r="I5" s="364"/>
      <c r="J5" s="364"/>
      <c r="K5" s="364"/>
    </row>
    <row r="6" spans="1:12" ht="15">
      <c r="B6" s="220" t="s">
        <v>24</v>
      </c>
      <c r="C6" s="221" t="s">
        <v>16</v>
      </c>
      <c r="D6" s="222" t="s">
        <v>57</v>
      </c>
      <c r="E6" s="223" t="s">
        <v>15</v>
      </c>
      <c r="F6" s="364"/>
      <c r="G6" s="364"/>
      <c r="H6" s="364"/>
      <c r="I6" s="364"/>
      <c r="J6" s="364"/>
      <c r="K6" s="364"/>
    </row>
    <row r="7" spans="1:12" ht="15.75" thickBot="1">
      <c r="B7" s="224"/>
      <c r="C7" s="225" t="s">
        <v>19</v>
      </c>
      <c r="D7" s="226" t="s">
        <v>58</v>
      </c>
      <c r="E7" s="227" t="s">
        <v>47</v>
      </c>
      <c r="F7" s="364"/>
      <c r="G7" s="364"/>
      <c r="H7" s="364"/>
      <c r="I7" s="364"/>
      <c r="J7" s="364"/>
      <c r="K7" s="364"/>
    </row>
    <row r="8" spans="1:12" ht="16.5" thickTop="1" thickBot="1">
      <c r="B8" s="230" t="s">
        <v>196</v>
      </c>
      <c r="C8" s="228">
        <v>185</v>
      </c>
      <c r="D8" s="229">
        <v>8</v>
      </c>
      <c r="E8" s="385">
        <f>$C8*D8/12</f>
        <v>123.33333333333333</v>
      </c>
      <c r="F8" s="364"/>
      <c r="G8" s="364"/>
      <c r="H8" s="364"/>
      <c r="I8" s="364"/>
      <c r="J8" s="364"/>
      <c r="K8" s="364"/>
    </row>
    <row r="9" spans="1:12" ht="15.75" thickBot="1">
      <c r="B9" s="219" t="s">
        <v>197</v>
      </c>
      <c r="C9" s="228">
        <v>26.9</v>
      </c>
      <c r="D9" s="229">
        <v>6</v>
      </c>
      <c r="E9" s="386">
        <f t="shared" ref="E9:E12" si="0">$C9*D9/12</f>
        <v>13.449999999999998</v>
      </c>
      <c r="F9" s="364"/>
      <c r="G9" s="364"/>
      <c r="H9" s="364"/>
      <c r="I9" s="364"/>
      <c r="J9" s="364"/>
      <c r="K9" s="364"/>
    </row>
    <row r="10" spans="1:12" ht="15.75" thickBot="1">
      <c r="B10" s="230" t="s">
        <v>13</v>
      </c>
      <c r="C10" s="228">
        <v>12.8</v>
      </c>
      <c r="D10" s="229">
        <v>6</v>
      </c>
      <c r="E10" s="385">
        <f t="shared" si="0"/>
        <v>6.4000000000000012</v>
      </c>
      <c r="F10" s="364"/>
      <c r="G10" s="364"/>
      <c r="H10" s="364"/>
      <c r="I10" s="364"/>
      <c r="J10" s="364"/>
      <c r="K10" s="364"/>
    </row>
    <row r="11" spans="1:12" ht="15.75" thickBot="1">
      <c r="B11" s="219" t="s">
        <v>198</v>
      </c>
      <c r="C11" s="228">
        <v>16</v>
      </c>
      <c r="D11" s="229">
        <v>3</v>
      </c>
      <c r="E11" s="386">
        <f t="shared" si="0"/>
        <v>4</v>
      </c>
      <c r="F11" s="364"/>
      <c r="G11" s="364"/>
      <c r="H11" s="364"/>
      <c r="I11" s="364"/>
      <c r="J11" s="364"/>
      <c r="K11" s="364"/>
    </row>
    <row r="12" spans="1:12" ht="15">
      <c r="B12" s="219" t="s">
        <v>223</v>
      </c>
      <c r="C12" s="381">
        <v>185</v>
      </c>
      <c r="D12" s="382">
        <v>1</v>
      </c>
      <c r="E12" s="386">
        <f t="shared" si="0"/>
        <v>15.416666666666666</v>
      </c>
      <c r="F12" s="364"/>
      <c r="G12" s="364"/>
      <c r="H12" s="364"/>
      <c r="I12" s="364"/>
      <c r="J12" s="364"/>
      <c r="K12" s="364"/>
    </row>
    <row r="13" spans="1:12">
      <c r="B13" s="231" t="s">
        <v>59</v>
      </c>
      <c r="C13" s="232"/>
      <c r="D13" s="233"/>
      <c r="E13" s="234">
        <f>SUM(E8:E12)</f>
        <v>162.6</v>
      </c>
    </row>
    <row r="14" spans="1:12" ht="15" thickBot="1">
      <c r="A14" s="215"/>
      <c r="B14" s="235" t="s">
        <v>60</v>
      </c>
      <c r="C14" s="236"/>
      <c r="D14" s="237"/>
      <c r="E14" s="387">
        <f>E13*E5</f>
        <v>325.2</v>
      </c>
      <c r="F14" s="238"/>
      <c r="G14" s="238"/>
      <c r="H14" s="238"/>
      <c r="I14" s="238"/>
    </row>
    <row r="15" spans="1:12" ht="15">
      <c r="B15" s="459" t="s">
        <v>119</v>
      </c>
      <c r="C15" s="459"/>
      <c r="D15" s="459"/>
      <c r="E15" s="459"/>
    </row>
    <row r="18" spans="2:7" ht="40.9" customHeight="1">
      <c r="B18" s="457" t="s">
        <v>154</v>
      </c>
      <c r="C18" s="457"/>
      <c r="D18" s="457"/>
      <c r="E18" s="457"/>
      <c r="F18" s="457"/>
      <c r="G18" s="457"/>
    </row>
    <row r="20" spans="2:7" ht="36" customHeight="1">
      <c r="B20" s="458" t="s">
        <v>159</v>
      </c>
      <c r="C20" s="458"/>
      <c r="D20" s="458"/>
      <c r="E20" s="458"/>
      <c r="F20" s="458"/>
      <c r="G20" s="458"/>
    </row>
  </sheetData>
  <mergeCells count="3">
    <mergeCell ref="B18:G18"/>
    <mergeCell ref="B20:G20"/>
    <mergeCell ref="B15:E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20" sqref="E20"/>
    </sheetView>
  </sheetViews>
  <sheetFormatPr defaultRowHeight="14.25"/>
  <cols>
    <col min="1" max="1" width="3.59765625" style="296" customWidth="1"/>
    <col min="2" max="2" width="35.19921875" customWidth="1"/>
    <col min="3" max="3" width="7.19921875" customWidth="1"/>
    <col min="4" max="4" width="14.8984375" customWidth="1"/>
    <col min="5" max="5" width="13.796875" customWidth="1"/>
    <col min="6" max="6" width="13.8984375" customWidth="1"/>
    <col min="7" max="7" width="16.5" customWidth="1"/>
    <col min="8" max="8" width="6.3984375" customWidth="1"/>
    <col min="9" max="9" width="7.5" customWidth="1"/>
  </cols>
  <sheetData>
    <row r="1" spans="2:7">
      <c r="B1" s="296"/>
      <c r="C1" s="296"/>
      <c r="D1" s="341"/>
      <c r="E1" s="296"/>
      <c r="F1" s="341"/>
      <c r="G1" s="296"/>
    </row>
    <row r="2" spans="2:7" ht="18">
      <c r="B2" s="328" t="str">
        <f>Índice!B2</f>
        <v xml:space="preserve">INSEMINAÇÃO ARTIFICIAL </v>
      </c>
      <c r="C2" s="296"/>
      <c r="D2" s="341"/>
      <c r="E2" s="296"/>
      <c r="F2" s="341"/>
      <c r="G2" s="296"/>
    </row>
    <row r="3" spans="2:7">
      <c r="B3" s="296"/>
      <c r="C3" s="296"/>
      <c r="D3" s="341"/>
      <c r="E3" s="296"/>
      <c r="F3" s="341"/>
      <c r="G3" s="296"/>
    </row>
    <row r="4" spans="2:7">
      <c r="B4" s="342" t="s">
        <v>160</v>
      </c>
      <c r="C4" s="296"/>
      <c r="D4" s="341"/>
      <c r="E4" s="296"/>
      <c r="F4" s="341"/>
      <c r="G4" s="296"/>
    </row>
    <row r="5" spans="2:7" ht="15" thickBot="1">
      <c r="B5" s="343" t="s">
        <v>161</v>
      </c>
      <c r="C5" s="344">
        <v>4200</v>
      </c>
      <c r="D5" s="345"/>
      <c r="E5" s="342"/>
      <c r="F5" s="345"/>
      <c r="G5" s="342"/>
    </row>
    <row r="6" spans="2:7" ht="15" thickBot="1">
      <c r="B6" s="346" t="s">
        <v>162</v>
      </c>
      <c r="C6" s="347"/>
      <c r="D6" s="348"/>
      <c r="E6" s="347" t="s">
        <v>163</v>
      </c>
      <c r="F6" s="348" t="s">
        <v>164</v>
      </c>
      <c r="G6" s="349" t="s">
        <v>165</v>
      </c>
    </row>
    <row r="7" spans="2:7">
      <c r="B7" s="350" t="s">
        <v>221</v>
      </c>
      <c r="C7" s="394"/>
      <c r="D7" s="399">
        <f>(472+908+436+688)/4</f>
        <v>626</v>
      </c>
      <c r="E7" s="351">
        <v>2</v>
      </c>
      <c r="F7" s="352">
        <f>(D7/10000*C5*E7)</f>
        <v>525.84</v>
      </c>
      <c r="G7" s="353">
        <f>F7/C5</f>
        <v>0.12520000000000001</v>
      </c>
    </row>
    <row r="8" spans="2:7">
      <c r="B8" s="350" t="s">
        <v>166</v>
      </c>
      <c r="C8" s="351"/>
      <c r="D8" s="399">
        <v>30</v>
      </c>
      <c r="E8" s="351">
        <v>2</v>
      </c>
      <c r="F8" s="352">
        <f>D8*E8</f>
        <v>60</v>
      </c>
      <c r="G8" s="353">
        <f>F8/C5</f>
        <v>1.4285714285714285E-2</v>
      </c>
    </row>
    <row r="9" spans="2:7">
      <c r="B9" s="354" t="s">
        <v>209</v>
      </c>
      <c r="C9" s="353"/>
      <c r="D9" s="399">
        <v>4.45</v>
      </c>
      <c r="E9" s="351">
        <v>2</v>
      </c>
      <c r="F9" s="352">
        <f>C5*0.44*E9</f>
        <v>3696</v>
      </c>
      <c r="G9" s="353">
        <f>F9/C5</f>
        <v>0.88</v>
      </c>
    </row>
    <row r="10" spans="2:7">
      <c r="B10" s="395" t="s">
        <v>167</v>
      </c>
      <c r="C10" s="396"/>
      <c r="D10" s="400">
        <v>239</v>
      </c>
      <c r="E10" s="395">
        <v>2</v>
      </c>
      <c r="F10" s="397">
        <f>C5*E10/20000*(D10*4)</f>
        <v>401.52</v>
      </c>
      <c r="G10" s="398">
        <f>F10/C5</f>
        <v>9.5599999999999991E-2</v>
      </c>
    </row>
    <row r="11" spans="2:7">
      <c r="B11" s="355" t="s">
        <v>222</v>
      </c>
      <c r="C11" s="393"/>
      <c r="D11" s="399">
        <f>Equipamentos!F7</f>
        <v>31335</v>
      </c>
      <c r="E11" s="351">
        <v>2</v>
      </c>
      <c r="F11" s="352">
        <f>D11*0.04/12</f>
        <v>104.45</v>
      </c>
      <c r="G11" s="353">
        <f>F11/C5</f>
        <v>2.486904761904762E-2</v>
      </c>
    </row>
    <row r="12" spans="2:7">
      <c r="B12" s="460" t="s">
        <v>168</v>
      </c>
      <c r="C12" s="461"/>
      <c r="D12" s="461"/>
      <c r="E12" s="461"/>
      <c r="F12" s="462"/>
      <c r="G12" s="353">
        <f>SUM(G7:G11)</f>
        <v>1.1399547619047619</v>
      </c>
    </row>
    <row r="13" spans="2:7">
      <c r="B13" s="463" t="s">
        <v>164</v>
      </c>
      <c r="C13" s="463"/>
      <c r="D13" s="463"/>
      <c r="E13" s="463"/>
      <c r="F13" s="463"/>
      <c r="G13" s="353">
        <f>SUM(F7:F11)</f>
        <v>4787.8100000000004</v>
      </c>
    </row>
    <row r="14" spans="2:7">
      <c r="B14" s="296"/>
      <c r="C14" s="296"/>
      <c r="D14" s="341"/>
      <c r="E14" s="296"/>
      <c r="F14" s="341"/>
      <c r="G14" s="296"/>
    </row>
    <row r="15" spans="2:7">
      <c r="B15" s="296"/>
      <c r="C15" s="296"/>
      <c r="D15" s="296"/>
      <c r="E15" s="296"/>
      <c r="F15" s="296"/>
      <c r="G15" s="296"/>
    </row>
    <row r="16" spans="2:7">
      <c r="B16" s="464" t="s">
        <v>171</v>
      </c>
      <c r="C16" s="464"/>
      <c r="D16" s="464"/>
      <c r="E16" s="464"/>
      <c r="F16" s="464"/>
      <c r="G16" s="464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</sheetData>
  <mergeCells count="3">
    <mergeCell ref="B12:F12"/>
    <mergeCell ref="B13:F13"/>
    <mergeCell ref="B16:G1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F17" sqref="F17"/>
    </sheetView>
  </sheetViews>
  <sheetFormatPr defaultRowHeight="14.25"/>
  <cols>
    <col min="1" max="1" width="5.3984375" customWidth="1"/>
    <col min="2" max="2" width="11.09765625" customWidth="1"/>
    <col min="5" max="5" width="21.8984375" customWidth="1"/>
    <col min="6" max="6" width="18.5" customWidth="1"/>
  </cols>
  <sheetData>
    <row r="1" spans="1:7">
      <c r="A1" s="466" t="s">
        <v>170</v>
      </c>
      <c r="B1" s="466"/>
      <c r="C1" s="466"/>
      <c r="D1" s="466"/>
      <c r="E1" s="466"/>
      <c r="F1" s="466"/>
    </row>
    <row r="2" spans="1:7" ht="15" thickBot="1"/>
    <row r="3" spans="1:7" ht="15">
      <c r="A3" s="182" t="s">
        <v>199</v>
      </c>
      <c r="B3" s="183" t="s">
        <v>200</v>
      </c>
      <c r="C3" s="184"/>
      <c r="D3" s="184"/>
      <c r="E3" s="184"/>
      <c r="F3" s="185"/>
    </row>
    <row r="4" spans="1:7" ht="15">
      <c r="A4" s="330"/>
      <c r="B4" s="295"/>
      <c r="C4" s="291"/>
      <c r="D4" s="291"/>
      <c r="E4" s="291"/>
      <c r="F4" s="191"/>
    </row>
    <row r="5" spans="1:7" ht="15">
      <c r="A5" s="187"/>
      <c r="B5" s="420" t="s">
        <v>201</v>
      </c>
      <c r="C5" s="420"/>
      <c r="D5" s="420"/>
      <c r="E5" s="420"/>
      <c r="F5" s="331">
        <v>2</v>
      </c>
    </row>
    <row r="6" spans="1:7" ht="15.75" thickBot="1">
      <c r="A6" s="187"/>
      <c r="B6" s="420" t="s">
        <v>202</v>
      </c>
      <c r="C6" s="420"/>
      <c r="D6" s="420"/>
      <c r="E6" s="420"/>
      <c r="F6" s="332">
        <v>2</v>
      </c>
    </row>
    <row r="7" spans="1:7" ht="15.75" thickBot="1">
      <c r="A7" s="187"/>
      <c r="B7" s="420" t="s">
        <v>203</v>
      </c>
      <c r="C7" s="420"/>
      <c r="D7" s="420"/>
      <c r="E7" s="420"/>
      <c r="F7" s="333">
        <v>31335</v>
      </c>
    </row>
    <row r="8" spans="1:7" ht="15.75" thickBot="1">
      <c r="A8" s="187"/>
      <c r="B8" s="420" t="s">
        <v>153</v>
      </c>
      <c r="C8" s="420"/>
      <c r="D8" s="420"/>
      <c r="E8" s="420"/>
      <c r="F8" s="308">
        <v>48</v>
      </c>
    </row>
    <row r="9" spans="1:7" ht="15.75" thickBot="1">
      <c r="A9" s="187"/>
      <c r="B9" s="420" t="s">
        <v>204</v>
      </c>
      <c r="C9" s="420"/>
      <c r="D9" s="420"/>
      <c r="E9" s="420"/>
      <c r="F9" s="388">
        <v>0.35</v>
      </c>
    </row>
    <row r="10" spans="1:7" ht="15.75" thickBot="1">
      <c r="A10" s="330"/>
      <c r="B10" s="420" t="s">
        <v>205</v>
      </c>
      <c r="C10" s="420"/>
      <c r="D10" s="420"/>
      <c r="E10" s="420"/>
      <c r="F10" s="334">
        <v>0.4</v>
      </c>
    </row>
    <row r="11" spans="1:7" ht="15.75" thickBot="1">
      <c r="A11" s="330"/>
      <c r="B11" s="420" t="s">
        <v>206</v>
      </c>
      <c r="C11" s="420"/>
      <c r="D11" s="420"/>
      <c r="E11" s="420"/>
      <c r="F11" s="391">
        <f>F7*F10/F8</f>
        <v>261.125</v>
      </c>
    </row>
    <row r="12" spans="1:7" ht="15.75" thickBot="1">
      <c r="A12" s="330"/>
      <c r="B12" s="368"/>
      <c r="C12" s="368"/>
      <c r="D12" s="368"/>
      <c r="E12" s="368" t="s">
        <v>207</v>
      </c>
      <c r="F12" s="391">
        <f>((F7-(F7*F9))/F8)</f>
        <v>424.328125</v>
      </c>
    </row>
    <row r="13" spans="1:7" s="296" customFormat="1" ht="15" thickBot="1">
      <c r="A13" s="468" t="s">
        <v>212</v>
      </c>
      <c r="B13" s="468"/>
      <c r="C13" s="468"/>
      <c r="D13" s="468"/>
      <c r="E13" s="468"/>
      <c r="F13" s="391">
        <f>F7/48</f>
        <v>652.8125</v>
      </c>
    </row>
    <row r="14" spans="1:7" s="296" customFormat="1" ht="15.75" thickBot="1">
      <c r="A14" s="330"/>
      <c r="B14" s="368"/>
      <c r="C14" s="467" t="s">
        <v>173</v>
      </c>
      <c r="D14" s="420"/>
      <c r="E14" s="420"/>
      <c r="F14" s="392">
        <f>(((PMT(F15,F8,F7)*F8)+F7)/F8)*(-1)</f>
        <v>61.734736236308585</v>
      </c>
      <c r="G14" s="390"/>
    </row>
    <row r="15" spans="1:7" ht="15.75" thickBot="1">
      <c r="A15" s="330"/>
      <c r="B15" s="420" t="s">
        <v>152</v>
      </c>
      <c r="C15" s="420"/>
      <c r="D15" s="420"/>
      <c r="E15" s="420"/>
      <c r="F15" s="389">
        <f>(4.5/12)/100</f>
        <v>3.7499999999999999E-3</v>
      </c>
    </row>
    <row r="16" spans="1:7" ht="15.75" thickBot="1">
      <c r="A16" s="330"/>
      <c r="B16" s="420" t="s">
        <v>151</v>
      </c>
      <c r="C16" s="420"/>
      <c r="D16" s="420"/>
      <c r="E16" s="420"/>
      <c r="F16" s="391">
        <f>(F14+F13)</f>
        <v>714.54723623630855</v>
      </c>
    </row>
    <row r="17" spans="1:13" ht="15">
      <c r="A17" s="330"/>
      <c r="B17" s="368"/>
      <c r="C17" s="368"/>
      <c r="D17" s="368"/>
      <c r="E17" s="368"/>
      <c r="F17" s="335"/>
    </row>
    <row r="18" spans="1:13" ht="27" customHeight="1" thickBot="1">
      <c r="A18" s="329"/>
      <c r="B18" s="426" t="s">
        <v>208</v>
      </c>
      <c r="C18" s="426"/>
      <c r="D18" s="426"/>
      <c r="E18" s="426"/>
      <c r="F18" s="336">
        <f>(F11+F12+F338+F16)*F6</f>
        <v>2800.0007224726169</v>
      </c>
    </row>
    <row r="19" spans="1:13" ht="30" customHeight="1">
      <c r="A19" s="330"/>
      <c r="B19" s="367"/>
      <c r="C19" s="367"/>
      <c r="D19" s="367"/>
      <c r="E19" s="367"/>
      <c r="F19" s="335"/>
    </row>
    <row r="21" spans="1:13">
      <c r="G21" s="296"/>
    </row>
    <row r="22" spans="1:13" ht="63.75" customHeight="1">
      <c r="B22" s="465" t="s">
        <v>210</v>
      </c>
      <c r="C22" s="465"/>
      <c r="D22" s="465"/>
      <c r="E22" s="465"/>
      <c r="F22" s="465"/>
    </row>
    <row r="25" spans="1:13" ht="82.5" customHeight="1">
      <c r="B25" s="465" t="s">
        <v>211</v>
      </c>
      <c r="C25" s="465"/>
      <c r="D25" s="465"/>
      <c r="E25" s="465"/>
      <c r="F25" s="465"/>
      <c r="I25" s="296"/>
      <c r="J25" s="296"/>
      <c r="K25" s="296"/>
      <c r="L25" s="296"/>
      <c r="M25" s="296"/>
    </row>
    <row r="26" spans="1:13" s="296" customFormat="1">
      <c r="A26"/>
      <c r="B26"/>
      <c r="C26"/>
      <c r="D26"/>
      <c r="E26"/>
      <c r="F26"/>
    </row>
    <row r="27" spans="1:13" s="296" customFormat="1">
      <c r="A27"/>
      <c r="B27"/>
      <c r="C27"/>
      <c r="D27"/>
      <c r="E27"/>
      <c r="F27"/>
    </row>
    <row r="28" spans="1:13" s="296" customFormat="1">
      <c r="A28"/>
      <c r="B28"/>
      <c r="C28"/>
      <c r="D28"/>
      <c r="E28"/>
      <c r="F28"/>
      <c r="I28"/>
      <c r="J28"/>
      <c r="K28"/>
      <c r="L28"/>
      <c r="M28"/>
    </row>
    <row r="32" spans="1:13" ht="6.6" customHeight="1"/>
    <row r="33" ht="55.9" customHeight="1"/>
    <row r="35" ht="62.45" customHeight="1"/>
    <row r="37" ht="79.900000000000006" customHeight="1"/>
  </sheetData>
  <mergeCells count="15">
    <mergeCell ref="A1:F1"/>
    <mergeCell ref="B9:E9"/>
    <mergeCell ref="B10:E10"/>
    <mergeCell ref="B11:E11"/>
    <mergeCell ref="B18:E18"/>
    <mergeCell ref="B5:E5"/>
    <mergeCell ref="B6:E6"/>
    <mergeCell ref="B16:E16"/>
    <mergeCell ref="C14:E14"/>
    <mergeCell ref="A13:E13"/>
    <mergeCell ref="B25:F25"/>
    <mergeCell ref="B7:E7"/>
    <mergeCell ref="B8:E8"/>
    <mergeCell ref="B22:F22"/>
    <mergeCell ref="B15:E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Índice</vt:lpstr>
      <vt:lpstr>Identificação do serviço</vt:lpstr>
      <vt:lpstr>Dimensionamento</vt:lpstr>
      <vt:lpstr>Encargos Sociais</vt:lpstr>
      <vt:lpstr>Mão de obra</vt:lpstr>
      <vt:lpstr>Despesas Indiretas</vt:lpstr>
      <vt:lpstr>EPI</vt:lpstr>
      <vt:lpstr>Materiais</vt:lpstr>
      <vt:lpstr>Equipamentos</vt:lpstr>
      <vt:lpstr>PV</vt:lpstr>
      <vt:lpstr>PV!Area_de_impressao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Copia</dc:creator>
  <cp:lastModifiedBy>cliente</cp:lastModifiedBy>
  <cp:lastPrinted>2020-01-29T16:56:07Z</cp:lastPrinted>
  <dcterms:created xsi:type="dcterms:W3CDTF">2013-07-18T12:26:35Z</dcterms:created>
  <dcterms:modified xsi:type="dcterms:W3CDTF">2020-01-29T17:19:20Z</dcterms:modified>
</cp:coreProperties>
</file>