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Orçamento" sheetId="2" r:id="rId2"/>
    <sheet name="CRON" sheetId="3" r:id="rId3"/>
    <sheet name="QCI" sheetId="4" r:id="rId4"/>
  </sheets>
  <externalReferences>
    <externalReference r:id="rId7"/>
  </externalReferences>
  <definedNames>
    <definedName name="_xlnm.Print_Area" localSheetId="2">'CRON'!$A$2:$N$57</definedName>
    <definedName name="_xlnm.Print_Area" localSheetId="1">'Orçamento'!$A$2:$H$136</definedName>
    <definedName name="_xlnm.Print_Area" localSheetId="0">'P. BDI'!$A$2:$F$50</definedName>
    <definedName name="_xlnm.Print_Area" localSheetId="3">'QCI'!$A$2:$H$64</definedName>
    <definedName name="CONCATENAR">CONCATENATE(#REF!," ",#REF!)</definedName>
    <definedName name="DATAEMISSAO">#REF!</definedName>
    <definedName name="DATART">#REF!</definedName>
    <definedName name="EMPRESAS">OFFSET('[1]Cotações'!$B$25,1,0):OFFSET('[1]Cotações'!$H$41,-1,0)</definedName>
    <definedName name="INDICES">OFFSET('[1]Cotações'!$B$20,1,0):OFFSET('[1]Cotações'!$I$24,-1,0)</definedName>
    <definedName name="LOCALIDADE">#REF!</definedName>
    <definedName name="NCOMPOSICOES">15</definedName>
    <definedName name="NCOTACOES">15</definedName>
    <definedName name="NEMPRESAS">15</definedName>
    <definedName name="NINDICES">3</definedName>
    <definedName name="NRELATORIOS">COUNTA('[1]Relatórios'!$A:$A)-2</definedName>
    <definedName name="NumerEmpresa">15</definedName>
    <definedName name="NumerIndice">3</definedName>
    <definedName name="Objeto">"Referência"</definedName>
    <definedName name="RelatoriosFontes">OFFSET('[1]Relatórios'!$A$5,1,0,NRELATORIOS)</definedName>
    <definedName name="SENHAGT" hidden="1">"PM2CAIXA"</definedName>
  </definedNames>
  <calcPr fullCalcOnLoad="1"/>
</workbook>
</file>

<file path=xl/comments1.xml><?xml version="1.0" encoding="utf-8"?>
<comments xmlns="http://schemas.openxmlformats.org/spreadsheetml/2006/main">
  <authors>
    <author>MARCIO TRENTIN</author>
  </authors>
  <commentList>
    <comment ref="C9" authorId="0">
      <text>
        <r>
          <rPr>
            <b/>
            <sz val="9"/>
            <rFont val="Segoe UI"/>
            <family val="2"/>
          </rPr>
          <t>MARCIO TRENTIN:</t>
        </r>
        <r>
          <rPr>
            <sz val="9"/>
            <rFont val="Segoe UI"/>
            <family val="2"/>
          </rPr>
          <t xml:space="preserve">
Data da proposta</t>
        </r>
      </text>
    </comment>
  </commentList>
</comments>
</file>

<file path=xl/comments2.xml><?xml version="1.0" encoding="utf-8"?>
<comments xmlns="http://schemas.openxmlformats.org/spreadsheetml/2006/main">
  <authors>
    <author>MARCIO TRENTIN</author>
  </authors>
  <commentList>
    <comment ref="C12" authorId="0">
      <text>
        <r>
          <rPr>
            <b/>
            <sz val="9"/>
            <rFont val="Segoe UI"/>
            <family val="2"/>
          </rPr>
          <t>MARCIO TRENTIN:</t>
        </r>
        <r>
          <rPr>
            <sz val="9"/>
            <rFont val="Segoe UI"/>
            <family val="2"/>
          </rPr>
          <t xml:space="preserve">
CONFIRMAR PERCENTUAL ADOTADO</t>
        </r>
      </text>
    </comment>
  </commentList>
</comments>
</file>

<file path=xl/sharedStrings.xml><?xml version="1.0" encoding="utf-8"?>
<sst xmlns="http://schemas.openxmlformats.org/spreadsheetml/2006/main" count="365" uniqueCount="261">
  <si>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</si>
  <si>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</si>
  <si>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</si>
  <si>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</si>
  <si>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</si>
  <si>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</si>
  <si>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</si>
  <si>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</si>
  <si>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</si>
  <si>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</si>
  <si>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</si>
  <si>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</si>
  <si>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</si>
  <si>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</si>
  <si>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</si>
  <si>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</si>
  <si>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</si>
  <si>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</si>
  <si>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</si>
  <si>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</si>
  <si>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</si>
  <si>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</si>
  <si>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</si>
  <si>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</si>
  <si>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</si>
  <si>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</si>
  <si>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</si>
  <si>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</si>
  <si>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</si>
  <si>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</si>
  <si>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</si>
  <si>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</si>
  <si>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</si>
  <si>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</si>
  <si>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</si>
  <si>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</si>
  <si>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</si>
  <si>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</si>
  <si>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</si>
  <si>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</si>
  <si>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</si>
  <si>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</si>
  <si>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</si>
  <si>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</si>
  <si>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</si>
  <si>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</si>
  <si>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</si>
  <si>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UM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</si>
  <si>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</si>
  <si>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</si>
  <si>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</si>
  <si>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</si>
  <si>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</si>
  <si>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</si>
  <si>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</si>
  <si>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</si>
  <si>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</si>
  <si>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</si>
  <si>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</si>
  <si>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</si>
  <si>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</si>
  <si>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</si>
  <si>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</si>
  <si>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</si>
  <si>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</si>
  <si>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</si>
  <si>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</si>
  <si>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</si>
  <si>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</si>
  <si>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</si>
  <si>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</si>
  <si>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</si>
  <si>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</si>
  <si>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</si>
  <si>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</si>
  <si>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</si>
  <si>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</si>
  <si>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</si>
  <si>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</si>
  <si>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</si>
  <si>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</si>
  <si>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</si>
  <si>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</si>
  <si>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</si>
  <si>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</si>
  <si>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</si>
  <si>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</si>
  <si>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</si>
  <si>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</si>
  <si>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</si>
  <si>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</si>
  <si>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</si>
  <si>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</si>
  <si>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COBERTURA</t>
  </si>
  <si>
    <t>1.1</t>
  </si>
  <si>
    <t>1.2</t>
  </si>
  <si>
    <t>2.1</t>
  </si>
  <si>
    <t>M3</t>
  </si>
  <si>
    <t>2.2</t>
  </si>
  <si>
    <t>2.3</t>
  </si>
  <si>
    <t>2.4</t>
  </si>
  <si>
    <t>2.5</t>
  </si>
  <si>
    <t>3.2</t>
  </si>
  <si>
    <t>3.3</t>
  </si>
  <si>
    <t>4.1</t>
  </si>
  <si>
    <t>4.2</t>
  </si>
  <si>
    <t>UN</t>
  </si>
  <si>
    <t>4.3</t>
  </si>
  <si>
    <t>5.1</t>
  </si>
  <si>
    <t>M</t>
  </si>
  <si>
    <t>6.1</t>
  </si>
  <si>
    <t>6.2</t>
  </si>
  <si>
    <t xml:space="preserve">CHAPISCO APLICADO SOMENTE EM PILARES E VIGAS DAS PAREDES INTERNAS, COM COLHER DE PEDREIRO. ARGAMASSA TRAÇO 1:3 </t>
  </si>
  <si>
    <t>REVESTIMENTO CERÂMICO PARA PISO ESMALTADA</t>
  </si>
  <si>
    <t>REVESTIMENTO CERÂMICO PARA PAREDES INTERNAS COM PLACAS TIPO GRÊS OU SEMI-GRÊS.</t>
  </si>
  <si>
    <t>GRANITO PARA BANCADA, POLIDO, TIPO ANDORINHA/ QUARTZ/ CASTELO/ CORUMBA OU OUTROS EQUIVALENTES DA REGIAO, E=  *2,5* CM</t>
  </si>
  <si>
    <t>74051/2</t>
  </si>
  <si>
    <t>REATERRO COMPACTADO MANUALMENTE</t>
  </si>
  <si>
    <t>SERVIÇOS PRELIMINARES</t>
  </si>
  <si>
    <t>BANCADA MÁRMORE/GRANITO POLIDO 150 X 60 CM, COM CUBA DE EMBUTIR DE AÇO INOXIDÁVEL MÉDIA, VÁLVULA AMERICANA EM METAL CROMADO, SIFÃO,, ENGATE FLEXÍVEL 30 CM, TORNEIRA  CROMADA TUBO MÓVEL, DE MESA, 1/2 OU 3/4, PARA PIA DE COZINHA, PADRÃO ALTO - FORNEC. E INSTAL. AF_12/2013</t>
  </si>
  <si>
    <t>3.1</t>
  </si>
  <si>
    <t>3.4</t>
  </si>
  <si>
    <t>4.4</t>
  </si>
  <si>
    <t>5.2</t>
  </si>
  <si>
    <t>5.3</t>
  </si>
  <si>
    <t>6.4</t>
  </si>
  <si>
    <t>6.5</t>
  </si>
  <si>
    <t>6.6</t>
  </si>
  <si>
    <t>6.7</t>
  </si>
  <si>
    <t>6.8</t>
  </si>
  <si>
    <t>6.9</t>
  </si>
  <si>
    <t>6.10</t>
  </si>
  <si>
    <t>7.1</t>
  </si>
  <si>
    <t>7.2</t>
  </si>
  <si>
    <t>7.3</t>
  </si>
  <si>
    <t>7.4</t>
  </si>
  <si>
    <t>7.5</t>
  </si>
  <si>
    <t>7.6</t>
  </si>
  <si>
    <t>7.7</t>
  </si>
  <si>
    <t>7.8</t>
  </si>
  <si>
    <t>2.6</t>
  </si>
  <si>
    <t>ELÉTRICA</t>
  </si>
  <si>
    <t>8.3</t>
  </si>
  <si>
    <t>74106/1</t>
  </si>
  <si>
    <t>IMPERMEABILIZACAO DE ESTRUTURAS ENTERRADAS, COM TINTA ASFALTICA, DUAS DEMAOS.</t>
  </si>
  <si>
    <t>EXECUÇÃO DE ESTRUTURAS DE CONCRETO ARMADO, SAPATA, VIGAS E PILARES FCK = 25 MPA.</t>
  </si>
  <si>
    <t>CINTA DE AMARRAÇÃO DE ALVENARIA MOLDADA IN LOCO EM CONCRETO. AF_03/2016</t>
  </si>
  <si>
    <t>CONTRAPISO DE REGULARIZAÇÃO, EM ARGAMASSA TRAÇO 1:4 (CIMENTO E AREIA), PREPARO MANUAL, ESPESSURA 2CM. AF_06/2014</t>
  </si>
  <si>
    <t>PEITORIL EM MARMORE/GRANITO, POLIDO, COM PINGADEIRA</t>
  </si>
  <si>
    <t>CAIXA SIFONADA, PVC, DN 100 X 100 X 50 MM, INCLUSO GRELHA CROMADA REDONDAJUNTA ELÁSTICA, FORNECIDA E INSTALADA EM RAMAL DE DESCARGA OU EM RAMAL DE ESGOTO SANITÁRIO.</t>
  </si>
  <si>
    <t>APLICAÇÃO MANUAL DE FUNDO SELADOR ACRÍLICO EM PAREDES EXTERNAS DE CASAS. AF_06/2014</t>
  </si>
  <si>
    <t>LIMPEZA FINAL DA OBRA</t>
  </si>
  <si>
    <t>FORNECIMENTO E INSTALAÇÃO DE TUBOS DE PVC, SOLDÁVEL, ÁGUA FRIA, DN 25 MM, INCLUSIVE CONEXÕES, CORTES E FIXAÇÕES...</t>
  </si>
  <si>
    <t>FORNECIMENTO E  INSTALAÇÃO DE TUBO DE PVC, SÉRIE NORMAL, ESGOTO PREDIAL, DN 40 MM (, INCLUSIVE CONEXÕES, CORTES E FIXAÇÕES...</t>
  </si>
  <si>
    <t>FORNECIMENTO E  INST. TUBO PVC, SÉRIE N, ESGOTO PREDIAL, 100 MM , INCL. CONEXÕES E CORTES, FIXAÇÕES..</t>
  </si>
  <si>
    <t>HIDRAULICA</t>
  </si>
  <si>
    <t>CONSTRUÇÃO LANCHONETE PRAÇA ARI MULLER</t>
  </si>
  <si>
    <t>PRAÇA ARI MULLER - RUA GUILHERME A. GIORDANI</t>
  </si>
  <si>
    <t>ESTRUTURA</t>
  </si>
  <si>
    <t>PINTURA/ACABAMENTOS</t>
  </si>
  <si>
    <t>TRAMA DE MADEIRA COMPOSTA POR RIPAS, CAIBROS E TERÇAS PARA TELHADOS DE MAIS QUE 2 ÁGUAS PARA TELHA DE ENCAIXE DE CERÂMICA OU DE CONCRETO, INCLUSO TRANSPORTE VERTICAL. AF_12/2015</t>
  </si>
  <si>
    <t>CUMEEIRA E ESPIGÃO PARA TELHA CERÂMICA EMBOÇADA COM ARGAMASSA TRAÇO 1:2:9 (CIMENTO, CAL E AREIA), PARA TELHADOS COM MAIS DE 2 ÁGUAS, INCLUSO TRANSPORTE VERTICAL. AF_06/2016</t>
  </si>
  <si>
    <t>73844/2</t>
  </si>
  <si>
    <t>73933/1</t>
  </si>
  <si>
    <t>CABO DE COBRE FLEXÍVEL ISOLADO, 1,5 MM², ANTI-CHAMA 0,6/1,0 KV, PARA CIRCUITOS TERMINAIS - FORNECIMENTO E INSTALAÇÃO. AF_12/2015</t>
  </si>
  <si>
    <t>CABO DE COBRE FLEXÍVEL ISOLADO, 2,5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</si>
  <si>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</si>
  <si>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QUADRO DE DISTRIBUICAO DE ENERGIA P/ 6 DISJUNTORES TERMOMAGNETICOS MONOPOLARES SEM BARRAMENTO, DE EMBUTIR, EM CHAPA METALICA - FORNECIMENTO E INSTALACAO</t>
  </si>
  <si>
    <t>DISJUNTOR MONOPOLAR TIPO DIN, CORRENTE NOMINAL DE 10A - FORNECIMENTO E INSTALAÇÃO. AF_04/2016</t>
  </si>
  <si>
    <t>DISJUNTOR MONOPOLAR TIPO DIN, CORRENTE NOMINAL DE 20A - FORNECIMENTO E INSTALAÇÃO. AF_04/2016</t>
  </si>
  <si>
    <t>INTERRUPTOR SIMPLES (2 MÓDULOS), 10A/250V, INCLUINDO SUPORTE E PLACA - FORNECIMENTO E INSTALAÇÃO. AF_12/2015</t>
  </si>
  <si>
    <t>TOMADA ALTA DE EMBUTIR (1 MÓDULO), 2P+T 20 A, INCLUINDO SUPORTE E PLACA - FORNECIMENTO E INSTALAÇÃO. AF_12/2015</t>
  </si>
  <si>
    <t>CAIXA DE GORDURA SIMPLES EM CONCRETO PRE-MOLDADO DN 40MM COM TAMPA - FORNECIMENTO E INSTALACAO</t>
  </si>
  <si>
    <t>VASO SANITÁRIO SIFONADO COM CAIXA ACOPLADA LOUÇA BRANCA, INCLUSO ENGATE FLEXÍVEL EM PLÁSTICO BRANCO, 1/2  X 40CM - FORNECIMENTO E INSTALAÇÃO. AF_12/2013</t>
  </si>
  <si>
    <t>LAVATÓRIO LOUÇA BRANCA COM COLUNA, *44 X 35,5* CM, PADRÃO POPULAR, INCLUSO SIFÃO FLEXÍVEL EM PVC, VÁLVULA E ENGATE FLEXÍVEL 30CM EM PLÁSTICO E COM TORNEIRA CROMADA PADRÃO POPULAR - FORNECIMENTO E INSTALAÇÃO. AF_12/2013</t>
  </si>
  <si>
    <t>PAPELEIRA DE PAREDE EM METAL CROMADO SEM TAMPA, INCLUSO FIXAÇÃO. AF_10/2016</t>
  </si>
  <si>
    <t>KIT DE REGISTRO DE GAVETA BRUTO DE LATÃO ¾", INCLUSIVE CONEXÕES, ROSCÁVEL, INSTALADO EM RAMAL DE ÁGUA FRIA - FORNECIMENTO E INSTALAÇÃO. AF_12/2014</t>
  </si>
  <si>
    <t>74253/1</t>
  </si>
  <si>
    <t>EXECUÇÃO DE PÁTIO/ESTACIONAMENTO EM PISO INTERTRAVADO, COM BLOCO RETANGULAR COR NATURAL DE 20 X 10 CM, ESPESSURA 6 CM. AF_12/2015</t>
  </si>
  <si>
    <t>CAIACAO EM MEIO FIO</t>
  </si>
  <si>
    <t>PINTURA EM VERNIZ SINTETICO BRILHANTE EM MADEIRA, TRES DEMAOS</t>
  </si>
  <si>
    <t>73992/1</t>
  </si>
  <si>
    <t>LOCACAO CONVENCIONAL DE OBRA, ATRAVÉS DE GABARITO DE TABUAS CORRIDAS PONTALETADAS A CADA 1,50M, SEM REAPROVEITAMENTO</t>
  </si>
  <si>
    <t>CAIXA DE PASSAGEM, EM PVC, DE 4" X 2", PARA ELETRODUTO FLEXIVEL CORRUGADO</t>
  </si>
  <si>
    <t>HASTE DE ATERRAMENTO EM ACO COM 3,00 M DE COMPRIMENTO E DN = 1/2", REVESTIDA COM BAIXA CAMADA DE COBRE, COM CONECTOR TIPO GRAMPO</t>
  </si>
  <si>
    <t>TOALHEIRO PLASTICO TIPO DISPENSER PARA PAPEL TOALHA INTERFOLHADO</t>
  </si>
  <si>
    <t>TELHAMENTO COM TELHA CERÂMICA DE ENCAIXE, TIPO ROMANA, ESMALTADA, INCLUSO TRANSPORTE VERTICAL.</t>
  </si>
  <si>
    <t>TABEIRA DE MADEIRA LEI, 1A QUALIDADE, 2,5X30,0CM PARA BEIRAL DE TELHADO, PINTADO</t>
  </si>
  <si>
    <t>Área m²:</t>
  </si>
  <si>
    <t>EMBOÇO/REBOCO, EM ARGAMASSA TRAÇO 1:2:8, PREPARO MANUAL, APLICADO MANUALMENTE EM FACES , ESPESSURA DE 20MM, COM EXECUÇÃO DE TALISCAS. AF_06/2014</t>
  </si>
  <si>
    <t>PISO E REVESTIMENTOS</t>
  </si>
  <si>
    <t>CALÇADA</t>
  </si>
  <si>
    <t>JANELA BASCULANTE EM ALUMINIO, 50 X 50 CM (A X L), COMPLETA, INSTALADA</t>
  </si>
  <si>
    <t>BARRA DE APOIO RETA, METALICO, COMPRIMENTO 80 CM, DIAMETRO MINIMO 3 CM</t>
  </si>
  <si>
    <t>SERVIÇO DE INSTALAÇÃO DE TUBO DE PVC, SÉRIE NORMAL, ESGOTO PREDIAL, DN 50 MM (INSTALADO EM RAMAL DE DESCARGA OU RAMAL DE ESGOTO SANITÁRIO), INCLUSIVE CONEXÕES, CORTES E FIXAÇÕES...</t>
  </si>
  <si>
    <t>ELETRODUTO FLEXÍVEL CORRUGADO, PVC, DN 25 MM (3/4"), PARA CIRCUITOS TERMINAIS, - FORNECIMENTO E INSTALAÇÃO. AF_12/2015</t>
  </si>
  <si>
    <t>RAMAL PREDIAL EM TUBO PEAD 25MM - FORNECIMENTO, INSTALAÇÃO, ESCAVAÇÃO E REATERRO</t>
  </si>
  <si>
    <t>ESCAVAÇÃO MECANIZADA, COM MINI-ESCAVADEIRA P/ ACERTO DO TERRENO</t>
  </si>
  <si>
    <t>ESCAVAÇÃO MANUAL DE VALA PARA VIGA BALDRAME</t>
  </si>
  <si>
    <t>FORRO EM RÉGUAS DE PVC, BRANCO,10MM, COM ESTRUTURA DE FIXAÇÃO E RODAFORRO. FORNEC. E INSTALAÇÃO.</t>
  </si>
  <si>
    <t>FORRO EM RÉGUAS DE PVC, AMADEIRADO,10MM, COM ESTRUTURA DE FIXAÇÃO E RODAFORRO. FORNEC. E INSTALAÇÃO.</t>
  </si>
  <si>
    <t>PISO DE CONCRETO COM CONCRETO MOLDADO IN LOCO, FEITO EM OBRA, . (16,71X0,04M)</t>
  </si>
  <si>
    <t>MURETA DE ALVENARIA DE TIJOLOS REBOCADA</t>
  </si>
  <si>
    <t>PORTA DE FERRO, DE ABRIR, TIPO CHAPA FRISADA, 90X210CM, COMPLETA, PINTADA. INSTALADA.</t>
  </si>
  <si>
    <t>PORTA/JANELA METALICA DE ENROLAR MANUAL COMPLETA,  PINTADO E INSTALADO</t>
  </si>
  <si>
    <t>TOMADA MÉDIA DE EMBUTIR (2 MÓDULOS), 2P+T 20 A, - FORNECIMENTO E INSTALAÇÃO. AF_12/2015</t>
  </si>
  <si>
    <t>VERGAS/CONTRAVERGA 10X10 CM, PREMOLDADAS C/ CONCRETO FCK=15 MPA, ACO CA-50</t>
  </si>
  <si>
    <t>VALOR UNIT. R$</t>
  </si>
  <si>
    <t>1.3</t>
  </si>
  <si>
    <t>2.7</t>
  </si>
  <si>
    <t>2.8</t>
  </si>
  <si>
    <t>3.5</t>
  </si>
  <si>
    <t>3.6</t>
  </si>
  <si>
    <t>3.7</t>
  </si>
  <si>
    <t>3.8</t>
  </si>
  <si>
    <t>4.5</t>
  </si>
  <si>
    <t>4.6</t>
  </si>
  <si>
    <t>4.7</t>
  </si>
  <si>
    <t>4.8</t>
  </si>
  <si>
    <t>5.4</t>
  </si>
  <si>
    <t>5.5</t>
  </si>
  <si>
    <t>5.6</t>
  </si>
  <si>
    <t>6.11</t>
  </si>
  <si>
    <t>6.12</t>
  </si>
  <si>
    <t>6.13</t>
  </si>
  <si>
    <t>7.9</t>
  </si>
  <si>
    <t>7.10</t>
  </si>
  <si>
    <t>7.11</t>
  </si>
  <si>
    <t>7.12</t>
  </si>
  <si>
    <t>7.13</t>
  </si>
  <si>
    <t>8.1</t>
  </si>
  <si>
    <t>8.2</t>
  </si>
  <si>
    <t>8.4</t>
  </si>
  <si>
    <t>LUMINARIA TIPO SPOT PARA 1 LAMPADA FLUORESCENTE/LED COMPACTA</t>
  </si>
  <si>
    <t>SUMIDOURO, COMPLETO</t>
  </si>
  <si>
    <t>FOSSA SEPTICA</t>
  </si>
  <si>
    <t>LUMINÁRIA TIPO CALHA, DE SOBREPOR, COM 2 LÂMPADAS TUBULARES DE LED - FORNECIMENTO E INSTALAÇÃO. AF_11/2017</t>
  </si>
  <si>
    <t>7.14</t>
  </si>
  <si>
    <t>REVESTIMENTO CERÂMICO PARA PAREDES EXTERNAS EM PASTILHAS DE PORCELANA OU EQUIVALENTE , ALINHADAS A PRUMO, APLICADO EM PANOS SEM VÃOS. AF_06/2014</t>
  </si>
  <si>
    <t>ALVENARIA DE VEDAÇÃO DE BLOCOS CERÂMICOS FURADOS NA VERTICAL DE 9X14X24CM (ESPESSURA 9CM)  E ARGAMASSA DE ASSENTAMENTO COM PREPARO MANUAL. AF_06/2014</t>
  </si>
  <si>
    <t>PLACA DE OBRA (PARA CONSTRUCAO CIVIL) EM CHAPA GALVANIZADA, DE *2,0 X 1,125* M</t>
  </si>
  <si>
    <t>2.9</t>
  </si>
  <si>
    <t>ESTACA A TRADO (BROCA) DIAMETRO = 20 CM, EM CONCRETO MOLDADO IN LOCO, 25 MPA, ARMADO.</t>
  </si>
  <si>
    <t>8.5</t>
  </si>
  <si>
    <t>APLICAÇÃO MANUAL DE PINTURA COM TINTA TEXTURIZADA ACRÍLICA EM PAREDES UMA COR. AF_06/2014</t>
  </si>
  <si>
    <t>ESQUADRIAS / ACESSORIOS</t>
  </si>
  <si>
    <t>ESPELHO CRISTAL, ESPESSURA 4MM, 30x40CM, COM PARAFUSOS DE FIXACAO, SEM MOLDURA (2UN)</t>
  </si>
  <si>
    <t>SABONETEIRA PLASTICA TIPO DISPENSER PARA SABONETE LIQUIDO, INCLUSO FIXAÇÃO. AF_10/2016</t>
  </si>
  <si>
    <t>5.7</t>
  </si>
  <si>
    <t>5.8</t>
  </si>
  <si>
    <t>5.9</t>
  </si>
  <si>
    <t>5.10</t>
  </si>
  <si>
    <t>5.11</t>
  </si>
  <si>
    <t>FABRICAÇÃO E INSTALAÇÃO DE TESOURA INTEIRA EM MADEIRA, PARA TELHA CERÂMICA OU DE CONCRETO, INCLUSO IÇAMENTO.</t>
  </si>
  <si>
    <t>SUBCOBERTURA COM MANTA PLÁSTICA REVESTIDA POR PELÍCULA DE ALUMÍNO, DUPLA FACE</t>
  </si>
  <si>
    <t>Area:</t>
  </si>
  <si>
    <t>TP -preencher</t>
  </si>
  <si>
    <t>preencher</t>
  </si>
  <si>
    <t>BDI:</t>
  </si>
  <si>
    <t>.</t>
  </si>
  <si>
    <t>cpf: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</si>
</sst>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00%"/>
    <numFmt numFmtId="177" formatCode="0.0000%"/>
    <numFmt numFmtId="178" formatCode="0.00000%"/>
    <numFmt numFmtId="179" formatCode="###,###,##0.000"/>
    <numFmt numFmtId="180" formatCode="###,###,##0.0000"/>
    <numFmt numFmtId="181" formatCode="###,###,##0.00000"/>
    <numFmt numFmtId="182" formatCode="###,###,##0.000000"/>
    <numFmt numFmtId="183" formatCode="###,###,##0.0"/>
    <numFmt numFmtId="184" formatCode="###,###,##0.0000000"/>
    <numFmt numFmtId="185" formatCode="###,###,##0.00000000"/>
    <numFmt numFmtId="186" formatCode="0.000000%"/>
    <numFmt numFmtId="187" formatCode="0.0000000%"/>
    <numFmt numFmtId="188" formatCode="0.00000000%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0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10" fontId="13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0" fillId="0" borderId="0" xfId="5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10" fontId="2" fillId="33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0" fontId="14" fillId="0" borderId="0" xfId="53" applyNumberFormat="1" applyFont="1" applyAlignment="1">
      <alignment horizontal="center" vertical="center"/>
    </xf>
    <xf numFmtId="10" fontId="0" fillId="0" borderId="0" xfId="53" applyNumberFormat="1" applyFont="1" applyAlignment="1">
      <alignment vertical="center"/>
    </xf>
    <xf numFmtId="2" fontId="0" fillId="0" borderId="0" xfId="0" applyNumberFormat="1" applyFont="1" applyAlignment="1">
      <alignment/>
    </xf>
    <xf numFmtId="0" fontId="4" fillId="0" borderId="31" xfId="0" applyFont="1" applyBorder="1" applyAlignment="1" applyProtection="1">
      <alignment horizontal="left" wrapText="1"/>
      <protection/>
    </xf>
    <xf numFmtId="43" fontId="0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4" xfId="0" applyNumberFormat="1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2" fillId="0" borderId="36" xfId="0" applyFont="1" applyBorder="1" applyAlignment="1" applyProtection="1">
      <alignment horizontal="distributed" vertical="top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 locked="0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" fontId="2" fillId="33" borderId="41" xfId="0" applyNumberFormat="1" applyFont="1" applyFill="1" applyBorder="1" applyAlignment="1" applyProtection="1">
      <alignment horizontal="center" vertical="center"/>
      <protection locked="0"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0" fontId="2" fillId="0" borderId="36" xfId="0" applyNumberFormat="1" applyFont="1" applyBorder="1" applyAlignment="1" applyProtection="1">
      <alignment horizontal="center"/>
      <protection/>
    </xf>
    <xf numFmtId="14" fontId="2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wrapText="1" indent="2"/>
      <protection/>
    </xf>
    <xf numFmtId="0" fontId="4" fillId="0" borderId="30" xfId="0" applyFont="1" applyBorder="1" applyAlignment="1" applyProtection="1">
      <alignment horizontal="left" wrapText="1" indent="2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 indent="2"/>
      <protection/>
    </xf>
    <xf numFmtId="10" fontId="2" fillId="33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70" fontId="4" fillId="0" borderId="30" xfId="0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170" fontId="4" fillId="0" borderId="23" xfId="0" applyNumberFormat="1" applyFont="1" applyFill="1" applyBorder="1" applyAlignment="1" applyProtection="1">
      <alignment horizontal="right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170" fontId="4" fillId="0" borderId="45" xfId="0" applyNumberFormat="1" applyFont="1" applyFill="1" applyBorder="1" applyAlignment="1" applyProtection="1">
      <alignment horizontal="right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2" fontId="2" fillId="33" borderId="23" xfId="0" applyNumberFormat="1" applyFont="1" applyFill="1" applyBorder="1" applyAlignment="1" applyProtection="1">
      <alignment horizontal="right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168" fontId="2" fillId="33" borderId="23" xfId="45" applyFont="1" applyFill="1" applyBorder="1" applyAlignment="1" applyProtection="1">
      <alignment horizontal="right" vertical="center"/>
      <protection/>
    </xf>
    <xf numFmtId="168" fontId="2" fillId="33" borderId="22" xfId="45" applyFont="1" applyFill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43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0" fontId="4" fillId="0" borderId="23" xfId="53" applyNumberFormat="1" applyFont="1" applyFill="1" applyBorder="1" applyAlignment="1" applyProtection="1">
      <alignment horizontal="center"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10" fontId="4" fillId="0" borderId="45" xfId="53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0" fontId="4" fillId="0" borderId="46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70" fontId="4" fillId="0" borderId="41" xfId="0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47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1" fillId="37" borderId="27" xfId="0" applyFont="1" applyFill="1" applyBorder="1" applyAlignment="1" applyProtection="1">
      <alignment horizontal="left"/>
      <protection/>
    </xf>
    <xf numFmtId="0" fontId="4" fillId="37" borderId="27" xfId="0" applyFon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/>
      <protection/>
    </xf>
    <xf numFmtId="170" fontId="4" fillId="37" borderId="27" xfId="0" applyNumberFormat="1" applyFont="1" applyFill="1" applyBorder="1" applyAlignment="1" applyProtection="1">
      <alignment/>
      <protection/>
    </xf>
    <xf numFmtId="170" fontId="1" fillId="37" borderId="27" xfId="0" applyNumberFormat="1" applyFont="1" applyFill="1" applyBorder="1" applyAlignment="1" applyProtection="1">
      <alignment/>
      <protection/>
    </xf>
    <xf numFmtId="170" fontId="1" fillId="37" borderId="27" xfId="0" applyNumberFormat="1" applyFont="1" applyFill="1" applyBorder="1" applyAlignment="1" applyProtection="1">
      <alignment horizontal="right"/>
      <protection/>
    </xf>
    <xf numFmtId="0" fontId="1" fillId="0" borderId="48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 horizontal="right"/>
      <protection/>
    </xf>
    <xf numFmtId="170" fontId="1" fillId="0" borderId="49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0" fontId="4" fillId="0" borderId="48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horizontal="center"/>
      <protection/>
    </xf>
    <xf numFmtId="4" fontId="19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right"/>
      <protection/>
    </xf>
    <xf numFmtId="170" fontId="4" fillId="0" borderId="49" xfId="0" applyNumberFormat="1" applyFont="1" applyFill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170" fontId="4" fillId="0" borderId="18" xfId="0" applyNumberFormat="1" applyFont="1" applyFill="1" applyBorder="1" applyAlignment="1" applyProtection="1">
      <alignment horizontal="right"/>
      <protection/>
    </xf>
    <xf numFmtId="170" fontId="4" fillId="0" borderId="10" xfId="0" applyNumberFormat="1" applyFont="1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170" fontId="4" fillId="0" borderId="31" xfId="0" applyNumberFormat="1" applyFont="1" applyFill="1" applyBorder="1" applyAlignment="1" applyProtection="1">
      <alignment horizontal="right"/>
      <protection/>
    </xf>
    <xf numFmtId="170" fontId="0" fillId="0" borderId="49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/>
      <protection/>
    </xf>
    <xf numFmtId="181" fontId="4" fillId="0" borderId="30" xfId="0" applyNumberFormat="1" applyFont="1" applyFill="1" applyBorder="1" applyAlignment="1" applyProtection="1">
      <alignment horizontal="right"/>
      <protection/>
    </xf>
    <xf numFmtId="170" fontId="4" fillId="0" borderId="31" xfId="0" applyNumberFormat="1" applyFont="1" applyFill="1" applyBorder="1" applyAlignment="1" applyProtection="1">
      <alignment/>
      <protection/>
    </xf>
    <xf numFmtId="170" fontId="4" fillId="0" borderId="50" xfId="0" applyNumberFormat="1" applyFont="1" applyFill="1" applyBorder="1" applyAlignment="1" applyProtection="1">
      <alignment horizontal="right"/>
      <protection/>
    </xf>
    <xf numFmtId="0" fontId="13" fillId="0" borderId="48" xfId="0" applyFont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 horizontal="right"/>
      <protection/>
    </xf>
    <xf numFmtId="0" fontId="4" fillId="0" borderId="51" xfId="0" applyFont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170" fontId="4" fillId="0" borderId="30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" fillId="37" borderId="27" xfId="0" applyFont="1" applyFill="1" applyBorder="1" applyAlignment="1" applyProtection="1">
      <alignment horizontal="right"/>
      <protection/>
    </xf>
    <xf numFmtId="170" fontId="20" fillId="37" borderId="27" xfId="0" applyNumberFormat="1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0" xfId="0" applyNumberFormat="1" applyFont="1" applyFill="1" applyBorder="1" applyAlignment="1" applyProtection="1">
      <alignment horizontal="center" vertical="center"/>
      <protection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9" xfId="0" applyNumberFormat="1" applyFont="1" applyFill="1" applyBorder="1" applyAlignment="1" applyProtection="1">
      <alignment horizontal="left" vertical="center"/>
      <protection/>
    </xf>
    <xf numFmtId="1" fontId="2" fillId="33" borderId="40" xfId="0" applyNumberFormat="1" applyFont="1" applyFill="1" applyBorder="1" applyAlignment="1" applyProtection="1">
      <alignment horizontal="left" vertical="center"/>
      <protection/>
    </xf>
    <xf numFmtId="1" fontId="2" fillId="33" borderId="41" xfId="0" applyNumberFormat="1" applyFont="1" applyFill="1" applyBorder="1" applyAlignment="1" applyProtection="1">
      <alignment horizontal="left" vertical="center"/>
      <protection/>
    </xf>
    <xf numFmtId="14" fontId="2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10" fontId="10" fillId="38" borderId="53" xfId="0" applyNumberFormat="1" applyFont="1" applyFill="1" applyBorder="1" applyAlignment="1" applyProtection="1">
      <alignment horizontal="center" vertical="center"/>
      <protection locked="0"/>
    </xf>
    <xf numFmtId="10" fontId="6" fillId="33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2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U\02%20-%20PROJETOS%20POR%20ANO\A_PROJETOS%202018\0%20-%20DOCUMENTOS%20CAIXA\FEVEREIRO%202018\Refer&#234;ncia%2002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3">
        <row r="20">
          <cell r="B20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</v>
          </cell>
        </row>
        <row r="7">
          <cell r="A7" t="str">
            <v>SINAPI</v>
          </cell>
        </row>
        <row r="8">
          <cell r="A8" t="str">
            <v>SINAPI-I</v>
          </cell>
        </row>
        <row r="9">
          <cell r="A9" t="str">
            <v>SINAPI</v>
          </cell>
        </row>
        <row r="10">
          <cell r="A10" t="str">
            <v>SINAPI</v>
          </cell>
        </row>
        <row r="11">
          <cell r="A11" t="str">
            <v>SINAPI-I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140625" defaultRowHeight="12.75"/>
  <cols>
    <col min="1" max="1" width="1.7109375" style="15" customWidth="1"/>
    <col min="2" max="2" width="24.421875" style="15" bestFit="1" customWidth="1"/>
    <col min="3" max="5" width="10.7109375" style="15" customWidth="1"/>
    <col min="6" max="6" width="17.7109375" style="16" customWidth="1"/>
    <col min="7" max="7" width="9.140625" style="15" customWidth="1"/>
    <col min="8" max="8" width="11.28125" style="15" hidden="1" customWidth="1"/>
    <col min="9" max="9" width="12.8515625" style="15" hidden="1" customWidth="1"/>
    <col min="10" max="10" width="11.7109375" style="15" hidden="1" customWidth="1"/>
    <col min="11" max="11" width="0" style="15" hidden="1" customWidth="1"/>
    <col min="12" max="18" width="9.140625" style="15" customWidth="1"/>
    <col min="19" max="19" width="9.140625" style="17" customWidth="1"/>
    <col min="20" max="20" width="9.140625" style="18" customWidth="1"/>
    <col min="21" max="16384" width="9.140625" style="15" customWidth="1"/>
  </cols>
  <sheetData>
    <row r="1" ht="35.25" customHeight="1">
      <c r="B1" s="27" t="s">
        <v>42</v>
      </c>
    </row>
    <row r="2" spans="2:20" s="3" customFormat="1" ht="32.25" customHeight="1">
      <c r="B2" s="231" t="s">
        <v>3</v>
      </c>
      <c r="C2" s="231"/>
      <c r="D2" s="231"/>
      <c r="E2" s="231"/>
      <c r="F2" s="231"/>
      <c r="S2" s="4"/>
      <c r="T2" s="5"/>
    </row>
    <row r="3" spans="2:20" s="6" customFormat="1" ht="12.75">
      <c r="B3" s="32" t="s">
        <v>39</v>
      </c>
      <c r="C3" s="99" t="s">
        <v>256</v>
      </c>
      <c r="D3" s="100"/>
      <c r="E3" s="100"/>
      <c r="F3" s="101"/>
      <c r="S3" s="7"/>
      <c r="T3" s="8"/>
    </row>
    <row r="4" spans="2:20" s="6" customFormat="1" ht="12.75">
      <c r="B4" s="32" t="s">
        <v>4</v>
      </c>
      <c r="C4" s="232" t="s">
        <v>40</v>
      </c>
      <c r="D4" s="233"/>
      <c r="E4" s="233"/>
      <c r="F4" s="234"/>
      <c r="S4" s="7"/>
      <c r="T4" s="8"/>
    </row>
    <row r="5" spans="2:20" s="6" customFormat="1" ht="12.75">
      <c r="B5" s="235" t="s">
        <v>5</v>
      </c>
      <c r="C5" s="232" t="s">
        <v>156</v>
      </c>
      <c r="D5" s="233"/>
      <c r="E5" s="233"/>
      <c r="F5" s="234"/>
      <c r="S5" s="7"/>
      <c r="T5" s="8"/>
    </row>
    <row r="6" spans="2:20" s="9" customFormat="1" ht="13.5" customHeight="1">
      <c r="B6" s="80" t="s">
        <v>43</v>
      </c>
      <c r="C6" s="236" t="s">
        <v>157</v>
      </c>
      <c r="D6" s="237"/>
      <c r="E6" s="237"/>
      <c r="F6" s="238"/>
      <c r="S6" s="10"/>
      <c r="T6" s="11"/>
    </row>
    <row r="7" spans="2:20" s="9" customFormat="1" ht="13.5" customHeight="1">
      <c r="B7" s="80" t="s">
        <v>45</v>
      </c>
      <c r="C7" s="99" t="s">
        <v>257</v>
      </c>
      <c r="D7" s="100"/>
      <c r="E7" s="100"/>
      <c r="F7" s="101"/>
      <c r="S7" s="10"/>
      <c r="T7" s="11"/>
    </row>
    <row r="8" spans="2:20" s="9" customFormat="1" ht="13.5" customHeight="1">
      <c r="B8" s="80" t="s">
        <v>41</v>
      </c>
      <c r="C8" s="99" t="s">
        <v>257</v>
      </c>
      <c r="D8" s="100"/>
      <c r="E8" s="100"/>
      <c r="F8" s="101"/>
      <c r="S8" s="10"/>
      <c r="T8" s="11"/>
    </row>
    <row r="9" spans="2:20" s="9" customFormat="1" ht="12.75">
      <c r="B9" s="80" t="s">
        <v>46</v>
      </c>
      <c r="C9" s="105" t="s">
        <v>257</v>
      </c>
      <c r="D9" s="106"/>
      <c r="E9" s="106"/>
      <c r="F9" s="107"/>
      <c r="S9" s="10"/>
      <c r="T9" s="11"/>
    </row>
    <row r="10" spans="2:20" s="9" customFormat="1" ht="12.75">
      <c r="B10" s="80"/>
      <c r="C10" s="239"/>
      <c r="D10" s="119"/>
      <c r="E10" s="119"/>
      <c r="F10" s="119"/>
      <c r="S10" s="10"/>
      <c r="T10" s="11"/>
    </row>
    <row r="11" spans="2:20" s="9" customFormat="1" ht="24.75" customHeight="1">
      <c r="B11" s="29" t="s">
        <v>6</v>
      </c>
      <c r="C11" s="30">
        <v>1</v>
      </c>
      <c r="D11" s="31">
        <f>IF(C11&gt;0,IF(C11&lt;7,,"&lt;--- Insira valor entre 1 e 6"),"&lt;--- Insira valor entre 1 e 6")</f>
        <v>0</v>
      </c>
      <c r="E11" s="32"/>
      <c r="F11" s="33"/>
      <c r="S11" s="10"/>
      <c r="T11" s="11"/>
    </row>
    <row r="12" spans="2:20" s="9" customFormat="1" ht="12.75">
      <c r="B12" s="34" t="s">
        <v>7</v>
      </c>
      <c r="C12" s="13">
        <v>1</v>
      </c>
      <c r="D12" s="102" t="s">
        <v>8</v>
      </c>
      <c r="E12" s="103"/>
      <c r="F12" s="104"/>
      <c r="S12" s="10"/>
      <c r="T12" s="11"/>
    </row>
    <row r="13" spans="2:20" s="9" customFormat="1" ht="25.5">
      <c r="B13" s="34" t="s">
        <v>9</v>
      </c>
      <c r="C13" s="35">
        <v>2</v>
      </c>
      <c r="D13" s="14">
        <f>IF(D14&lt;&gt;0,0,"( X )")</f>
        <v>0</v>
      </c>
      <c r="E13" s="36" t="s">
        <v>10</v>
      </c>
      <c r="F13" s="37"/>
      <c r="S13" s="10"/>
      <c r="T13" s="11"/>
    </row>
    <row r="14" spans="2:20" s="9" customFormat="1" ht="51">
      <c r="B14" s="34" t="s">
        <v>11</v>
      </c>
      <c r="C14" s="35">
        <v>3</v>
      </c>
      <c r="D14" s="38" t="s">
        <v>58</v>
      </c>
      <c r="E14" s="39" t="s">
        <v>12</v>
      </c>
      <c r="F14" s="40"/>
      <c r="S14" s="10"/>
      <c r="T14" s="11"/>
    </row>
    <row r="15" spans="2:20" s="9" customFormat="1" ht="51">
      <c r="B15" s="34" t="s">
        <v>13</v>
      </c>
      <c r="C15" s="35">
        <v>4</v>
      </c>
      <c r="D15" s="86" t="s">
        <v>14</v>
      </c>
      <c r="E15" s="87"/>
      <c r="F15" s="88"/>
      <c r="S15" s="10"/>
      <c r="T15" s="11"/>
    </row>
    <row r="16" spans="2:20" s="9" customFormat="1" ht="25.5">
      <c r="B16" s="34" t="s">
        <v>15</v>
      </c>
      <c r="C16" s="35">
        <v>5</v>
      </c>
      <c r="D16" s="243">
        <f>IF(D17&lt;&gt;0,0,"( X )")</f>
        <v>0</v>
      </c>
      <c r="E16" s="36" t="s">
        <v>16</v>
      </c>
      <c r="F16" s="37"/>
      <c r="S16" s="10"/>
      <c r="T16" s="11"/>
    </row>
    <row r="17" spans="2:20" s="9" customFormat="1" ht="25.5">
      <c r="B17" s="34" t="s">
        <v>17</v>
      </c>
      <c r="C17" s="35">
        <v>6</v>
      </c>
      <c r="D17" s="244" t="s">
        <v>58</v>
      </c>
      <c r="E17" s="39" t="s">
        <v>18</v>
      </c>
      <c r="F17" s="40"/>
      <c r="S17" s="10"/>
      <c r="T17" s="11"/>
    </row>
    <row r="18" spans="2:20" s="9" customFormat="1" ht="12.75">
      <c r="B18" s="41"/>
      <c r="C18" s="32"/>
      <c r="D18" s="32"/>
      <c r="E18" s="32"/>
      <c r="F18" s="33"/>
      <c r="S18" s="10"/>
      <c r="T18" s="11"/>
    </row>
    <row r="19" spans="2:10" ht="15.75" customHeight="1">
      <c r="B19" s="42"/>
      <c r="C19" s="89" t="s">
        <v>19</v>
      </c>
      <c r="D19" s="89"/>
      <c r="E19" s="89"/>
      <c r="F19" s="42"/>
      <c r="H19" s="61" t="s">
        <v>62</v>
      </c>
      <c r="I19" s="63" t="str">
        <f>F21</f>
        <v>preencher</v>
      </c>
      <c r="J19" s="61"/>
    </row>
    <row r="20" spans="2:20" s="19" customFormat="1" ht="31.5">
      <c r="B20" s="43" t="s">
        <v>20</v>
      </c>
      <c r="C20" s="44" t="s">
        <v>21</v>
      </c>
      <c r="D20" s="44" t="s">
        <v>22</v>
      </c>
      <c r="E20" s="44" t="s">
        <v>23</v>
      </c>
      <c r="F20" s="45" t="s">
        <v>24</v>
      </c>
      <c r="H20" s="62" t="s">
        <v>63</v>
      </c>
      <c r="I20" s="64" t="str">
        <f>F22</f>
        <v>preencher</v>
      </c>
      <c r="J20" s="62"/>
      <c r="S20" s="20"/>
      <c r="T20" s="21"/>
    </row>
    <row r="21" spans="2:19" ht="15.75">
      <c r="B21" s="46" t="s">
        <v>25</v>
      </c>
      <c r="C21" s="47">
        <v>0.03</v>
      </c>
      <c r="D21" s="48">
        <v>0.04</v>
      </c>
      <c r="E21" s="49">
        <v>0.055</v>
      </c>
      <c r="F21" s="245" t="s">
        <v>257</v>
      </c>
      <c r="G21" s="12" t="str">
        <f>IF(F21=0,"",IF(F21&lt;C21,"Atenção, observar os intervalos!",IF(F21&gt;E21,"Atenção, observar os intervalos!","")))</f>
        <v>Atenção, observar os intervalos!</v>
      </c>
      <c r="H21" s="61" t="s">
        <v>64</v>
      </c>
      <c r="I21" s="63" t="str">
        <f>I20</f>
        <v>preencher</v>
      </c>
      <c r="J21" s="61"/>
      <c r="R21" s="18"/>
      <c r="S21" s="18"/>
    </row>
    <row r="22" spans="2:19" ht="15.75">
      <c r="B22" s="46" t="s">
        <v>26</v>
      </c>
      <c r="C22" s="50">
        <v>0.008</v>
      </c>
      <c r="D22" s="51">
        <v>0.008</v>
      </c>
      <c r="E22" s="52">
        <v>0.01</v>
      </c>
      <c r="F22" s="245" t="s">
        <v>257</v>
      </c>
      <c r="G22" s="12" t="str">
        <f>IF(F22=0,"",IF(F22&lt;C22,"Atenção, observar os intervalos!",IF(F22&gt;E22,"Atenção, observar os intervalos!","")))</f>
        <v>Atenção, observar os intervalos!</v>
      </c>
      <c r="H22" s="61" t="s">
        <v>65</v>
      </c>
      <c r="I22" s="63" t="str">
        <f aca="true" t="shared" si="0" ref="I22:I27">F23</f>
        <v>preencher</v>
      </c>
      <c r="J22" s="61"/>
      <c r="R22" s="18"/>
      <c r="S22" s="18"/>
    </row>
    <row r="23" spans="2:19" ht="15.75">
      <c r="B23" s="46" t="s">
        <v>27</v>
      </c>
      <c r="C23" s="50">
        <v>0.0097</v>
      </c>
      <c r="D23" s="51">
        <v>0.0127</v>
      </c>
      <c r="E23" s="52">
        <v>0.0127</v>
      </c>
      <c r="F23" s="245" t="s">
        <v>257</v>
      </c>
      <c r="G23" s="12" t="str">
        <f>IF(F23=0,"",IF(F23&lt;C23,"Atenção, observar os intervalos!",IF(F23&gt;E23,"Atenção, observar os intervalos!","")))</f>
        <v>Atenção, observar os intervalos!</v>
      </c>
      <c r="H23" s="61" t="s">
        <v>66</v>
      </c>
      <c r="I23" s="63" t="str">
        <f t="shared" si="0"/>
        <v>preencher</v>
      </c>
      <c r="J23" s="60"/>
      <c r="R23" s="18"/>
      <c r="S23" s="18"/>
    </row>
    <row r="24" spans="2:19" ht="15.75">
      <c r="B24" s="46" t="s">
        <v>28</v>
      </c>
      <c r="C24" s="50">
        <v>0.0059</v>
      </c>
      <c r="D24" s="51">
        <v>0.0123</v>
      </c>
      <c r="E24" s="52">
        <v>0.0139</v>
      </c>
      <c r="F24" s="245" t="s">
        <v>257</v>
      </c>
      <c r="G24" s="12" t="str">
        <f>IF(F24=0,"",IF(F24&lt;C24,"Atenção, observar os intervalos!",IF(F24&gt;E24,"Atenção, observar os intervalos!","")))</f>
        <v>Atenção, observar os intervalos!</v>
      </c>
      <c r="H24" s="61" t="s">
        <v>67</v>
      </c>
      <c r="I24" s="63" t="str">
        <f t="shared" si="0"/>
        <v>preencher</v>
      </c>
      <c r="J24" s="60"/>
      <c r="R24" s="18"/>
      <c r="S24" s="18"/>
    </row>
    <row r="25" spans="2:19" ht="15.75">
      <c r="B25" s="46" t="s">
        <v>29</v>
      </c>
      <c r="C25" s="53">
        <v>0.0616</v>
      </c>
      <c r="D25" s="54">
        <v>0.074</v>
      </c>
      <c r="E25" s="55">
        <v>0.0896</v>
      </c>
      <c r="F25" s="245" t="s">
        <v>257</v>
      </c>
      <c r="G25" s="12" t="str">
        <f>IF(F25=0,"",IF(F25&lt;C25,"Atenção, observar os intervalos!",IF(F25&gt;E25,"Atenção, observar os intervalos!","")))</f>
        <v>Atenção, observar os intervalos!</v>
      </c>
      <c r="H25" s="61" t="s">
        <v>68</v>
      </c>
      <c r="I25" s="63" t="str">
        <f t="shared" si="0"/>
        <v>preencher</v>
      </c>
      <c r="J25" s="61"/>
      <c r="R25" s="18"/>
      <c r="S25" s="18"/>
    </row>
    <row r="26" spans="2:19" ht="15.75">
      <c r="B26" s="90" t="s">
        <v>30</v>
      </c>
      <c r="C26" s="91"/>
      <c r="D26" s="91"/>
      <c r="E26" s="92"/>
      <c r="F26" s="246" t="s">
        <v>257</v>
      </c>
      <c r="G26" s="12"/>
      <c r="H26" s="61" t="s">
        <v>69</v>
      </c>
      <c r="I26" s="63" t="str">
        <f t="shared" si="0"/>
        <v>preencher</v>
      </c>
      <c r="J26" s="61"/>
      <c r="R26" s="18"/>
      <c r="S26" s="18"/>
    </row>
    <row r="27" spans="2:19" ht="15.75">
      <c r="B27" s="93" t="s">
        <v>31</v>
      </c>
      <c r="C27" s="94"/>
      <c r="D27" s="94"/>
      <c r="E27" s="95"/>
      <c r="F27" s="246" t="s">
        <v>257</v>
      </c>
      <c r="G27" s="12"/>
      <c r="H27" s="61" t="s">
        <v>70</v>
      </c>
      <c r="I27" s="63">
        <f t="shared" si="0"/>
        <v>0.045</v>
      </c>
      <c r="J27" s="61"/>
      <c r="R27" s="18"/>
      <c r="S27" s="18"/>
    </row>
    <row r="28" spans="2:19" ht="16.5" thickBot="1">
      <c r="B28" s="96" t="s">
        <v>32</v>
      </c>
      <c r="C28" s="97"/>
      <c r="D28" s="97"/>
      <c r="E28" s="97"/>
      <c r="F28" s="22">
        <v>0.045</v>
      </c>
      <c r="G28" s="12"/>
      <c r="H28" s="61"/>
      <c r="I28" s="65"/>
      <c r="J28" s="65"/>
      <c r="K28" s="23"/>
      <c r="L28" s="24"/>
      <c r="M28" s="71"/>
      <c r="N28" s="71"/>
      <c r="O28" s="72"/>
      <c r="R28" s="18"/>
      <c r="S28" s="18"/>
    </row>
    <row r="29" spans="2:18" ht="12.75">
      <c r="B29" s="56"/>
      <c r="C29" s="56"/>
      <c r="D29" s="56"/>
      <c r="E29" s="56"/>
      <c r="F29" s="42"/>
      <c r="H29" s="61"/>
      <c r="I29" s="65"/>
      <c r="J29" s="65"/>
      <c r="K29" s="23"/>
      <c r="L29" s="24"/>
      <c r="M29" s="24"/>
      <c r="N29" s="24"/>
      <c r="R29" s="17"/>
    </row>
    <row r="30" spans="2:19" ht="15.75">
      <c r="B30" s="98" t="s">
        <v>33</v>
      </c>
      <c r="C30" s="98"/>
      <c r="D30" s="98"/>
      <c r="E30" s="98"/>
      <c r="F30" s="57" t="e">
        <f>ROUND((((1+I19+I21+I22)*(1+I23)*(1+I24))/(1-I25-I26))-1,4)</f>
        <v>#VALUE!</v>
      </c>
      <c r="G30" s="25"/>
      <c r="H30" s="60" t="s">
        <v>59</v>
      </c>
      <c r="I30" s="60" t="s">
        <v>60</v>
      </c>
      <c r="J30" s="60" t="s">
        <v>61</v>
      </c>
      <c r="R30" s="18"/>
      <c r="S30" s="18"/>
    </row>
    <row r="31" spans="2:19" ht="16.5" thickBot="1">
      <c r="B31" s="81" t="s">
        <v>34</v>
      </c>
      <c r="C31" s="82"/>
      <c r="D31" s="82"/>
      <c r="E31" s="82"/>
      <c r="F31" s="58" t="e">
        <f>ROUND((((1+I19+I21+I22)*(1+I23)*(1+I24))/(1-I25-I26-I27))-1,4)</f>
        <v>#VALUE!</v>
      </c>
      <c r="G31" s="26"/>
      <c r="H31" s="60">
        <v>0.2034</v>
      </c>
      <c r="I31" s="60">
        <v>0.2212</v>
      </c>
      <c r="J31" s="60">
        <v>0.25</v>
      </c>
      <c r="R31" s="18"/>
      <c r="S31" s="18"/>
    </row>
    <row r="32" spans="2:6" ht="12.75">
      <c r="B32" s="56"/>
      <c r="C32" s="56"/>
      <c r="D32" s="56"/>
      <c r="E32" s="56"/>
      <c r="F32" s="42"/>
    </row>
    <row r="33" spans="2:6" ht="48" customHeight="1">
      <c r="B33" s="83" t="s">
        <v>35</v>
      </c>
      <c r="C33" s="83"/>
      <c r="D33" s="83"/>
      <c r="E33" s="83"/>
      <c r="F33" s="83"/>
    </row>
    <row r="34" spans="2:6" ht="12.75">
      <c r="B34" s="56"/>
      <c r="C34" s="56"/>
      <c r="D34" s="56"/>
      <c r="E34" s="56"/>
      <c r="F34" s="42"/>
    </row>
    <row r="35" spans="2:6" ht="12.75">
      <c r="B35" s="84" t="s">
        <v>36</v>
      </c>
      <c r="C35" s="84"/>
      <c r="D35" s="84"/>
      <c r="E35" s="84"/>
      <c r="F35" s="84"/>
    </row>
    <row r="36" spans="2:6" ht="12.75">
      <c r="B36" s="85" t="s">
        <v>37</v>
      </c>
      <c r="C36" s="85"/>
      <c r="D36" s="85"/>
      <c r="E36" s="85"/>
      <c r="F36" s="85"/>
    </row>
    <row r="37" spans="2:6" ht="22.5" customHeight="1">
      <c r="B37" s="56"/>
      <c r="C37" s="56"/>
      <c r="D37" s="56"/>
      <c r="E37" s="56"/>
      <c r="F37" s="59"/>
    </row>
    <row r="38" spans="2:6" ht="12.75">
      <c r="B38" s="145"/>
      <c r="C38" s="56"/>
      <c r="D38" s="56"/>
      <c r="E38" s="56"/>
      <c r="F38" s="42"/>
    </row>
    <row r="39" spans="2:6" ht="12.75">
      <c r="B39" s="56"/>
      <c r="C39" s="56"/>
      <c r="D39" s="56"/>
      <c r="E39" s="56"/>
      <c r="F39" s="42"/>
    </row>
    <row r="40" spans="2:6" ht="12.75">
      <c r="B40" s="146" t="s">
        <v>90</v>
      </c>
      <c r="C40" s="67" t="s">
        <v>259</v>
      </c>
      <c r="D40" s="240"/>
      <c r="E40" s="56"/>
      <c r="F40" s="42"/>
    </row>
    <row r="41" spans="2:6" ht="12.75">
      <c r="B41" s="149" t="s">
        <v>92</v>
      </c>
      <c r="C41" s="247" t="s">
        <v>259</v>
      </c>
      <c r="D41" s="241"/>
      <c r="E41" s="56"/>
      <c r="F41" s="42"/>
    </row>
    <row r="42" spans="2:6" ht="12.75">
      <c r="B42" s="150"/>
      <c r="C42" s="150"/>
      <c r="D42" s="150"/>
      <c r="E42" s="56"/>
      <c r="F42" s="42"/>
    </row>
    <row r="43" spans="2:6" ht="12.75">
      <c r="B43" s="150"/>
      <c r="C43" s="150"/>
      <c r="D43" s="150"/>
      <c r="E43" s="56"/>
      <c r="F43" s="42"/>
    </row>
    <row r="44" spans="2:6" ht="12.75">
      <c r="B44" s="56"/>
      <c r="C44" s="56"/>
      <c r="D44" s="56"/>
      <c r="E44" s="56"/>
      <c r="F44" s="42"/>
    </row>
    <row r="45" spans="2:6" ht="12.75">
      <c r="B45" s="56"/>
      <c r="C45" s="56"/>
      <c r="D45" s="56"/>
      <c r="E45" s="56"/>
      <c r="F45" s="42"/>
    </row>
    <row r="46" spans="2:6" ht="12.75">
      <c r="B46" s="56"/>
      <c r="C46" s="56"/>
      <c r="D46" s="56"/>
      <c r="E46" s="56"/>
      <c r="F46" s="42"/>
    </row>
    <row r="47" spans="2:6" ht="12.75">
      <c r="B47" s="242"/>
      <c r="C47" s="242"/>
      <c r="D47" s="242"/>
      <c r="E47" s="56"/>
      <c r="F47" s="42"/>
    </row>
    <row r="48" spans="2:6" ht="12.75">
      <c r="B48" s="146" t="s">
        <v>91</v>
      </c>
      <c r="C48" s="248" t="s">
        <v>259</v>
      </c>
      <c r="D48" s="147"/>
      <c r="E48" s="56"/>
      <c r="F48" s="42"/>
    </row>
    <row r="49" spans="2:6" ht="12.75">
      <c r="B49" s="149" t="s">
        <v>38</v>
      </c>
      <c r="C49" s="247" t="s">
        <v>260</v>
      </c>
      <c r="D49" s="241"/>
      <c r="E49" s="56"/>
      <c r="F49" s="42"/>
    </row>
    <row r="50" spans="2:6" ht="12.75">
      <c r="B50" s="56"/>
      <c r="C50" s="56"/>
      <c r="D50" s="56"/>
      <c r="E50" s="56"/>
      <c r="F50" s="42"/>
    </row>
  </sheetData>
  <sheetProtection password="C6F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105" operator="between" stopIfTrue="1">
      <formula>$C21</formula>
      <formula>$E21</formula>
    </cfRule>
  </conditionalFormatting>
  <conditionalFormatting sqref="B12:C17">
    <cfRule type="expression" priority="10" dxfId="93" stopIfTrue="1">
      <formula>$C$11=0</formula>
    </cfRule>
    <cfRule type="expression" priority="11" dxfId="93" stopIfTrue="1">
      <formula>$C$11&gt;6</formula>
    </cfRule>
    <cfRule type="expression" priority="12" dxfId="102" stopIfTrue="1">
      <formula>$C12&lt;&gt;$C$11</formula>
    </cfRule>
  </conditionalFormatting>
  <conditionalFormatting sqref="E13">
    <cfRule type="expression" priority="9" dxfId="93" stopIfTrue="1">
      <formula>$D$14&lt;&gt;0</formula>
    </cfRule>
  </conditionalFormatting>
  <conditionalFormatting sqref="E14">
    <cfRule type="expression" priority="8" dxfId="98" stopIfTrue="1">
      <formula>$D$14&lt;&gt;0</formula>
    </cfRule>
  </conditionalFormatting>
  <conditionalFormatting sqref="E16 B30:F30">
    <cfRule type="expression" priority="7" dxfId="93" stopIfTrue="1">
      <formula>$D$17&lt;&gt;0</formula>
    </cfRule>
  </conditionalFormatting>
  <conditionalFormatting sqref="E17">
    <cfRule type="expression" priority="6" dxfId="98" stopIfTrue="1">
      <formula>$D$17&lt;&gt;0</formula>
    </cfRule>
  </conditionalFormatting>
  <conditionalFormatting sqref="B31:F31">
    <cfRule type="expression" priority="5" dxfId="106" stopIfTrue="1">
      <formula>$D$17&lt;&gt;0</formula>
    </cfRule>
  </conditionalFormatting>
  <conditionalFormatting sqref="B36:F36">
    <cfRule type="expression" priority="4" dxfId="93" stopIfTrue="1">
      <formula>$D$17&lt;&gt;0</formula>
    </cfRule>
  </conditionalFormatting>
  <conditionalFormatting sqref="F28">
    <cfRule type="expression" priority="3" dxfId="107" stopIfTrue="1">
      <formula>$D$17&lt;&gt;0</formula>
    </cfRule>
  </conditionalFormatting>
  <conditionalFormatting sqref="B28:E28">
    <cfRule type="expression" priority="2" dxfId="108" stopIfTrue="1">
      <formula>$D$17&lt;&gt;0</formula>
    </cfRule>
  </conditionalFormatting>
  <conditionalFormatting sqref="B35:F35">
    <cfRule type="expression" priority="1" dxfId="93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2" max="2" width="13.28125" style="0" bestFit="1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7" width="11.7109375" style="0" customWidth="1"/>
    <col min="8" max="8" width="13.140625" style="0" customWidth="1"/>
    <col min="10" max="10" width="14.421875" style="0" bestFit="1" customWidth="1"/>
    <col min="11" max="11" width="10.140625" style="0" bestFit="1" customWidth="1"/>
  </cols>
  <sheetData>
    <row r="1" ht="37.5" customHeight="1">
      <c r="A1" s="27" t="s">
        <v>42</v>
      </c>
    </row>
    <row r="2" spans="1:8" ht="12.75" customHeight="1">
      <c r="A2" s="111" t="s">
        <v>44</v>
      </c>
      <c r="B2" s="111"/>
      <c r="C2" s="111"/>
      <c r="D2" s="111"/>
      <c r="E2" s="111"/>
      <c r="F2" s="111"/>
      <c r="G2" s="111"/>
      <c r="H2" s="111"/>
    </row>
    <row r="3" spans="1:8" ht="15" customHeight="1">
      <c r="A3" s="111"/>
      <c r="B3" s="111"/>
      <c r="C3" s="111"/>
      <c r="D3" s="111"/>
      <c r="E3" s="111"/>
      <c r="F3" s="111"/>
      <c r="G3" s="111"/>
      <c r="H3" s="111"/>
    </row>
    <row r="4" spans="1:8" ht="12.75" customHeight="1">
      <c r="A4" s="112"/>
      <c r="B4" s="112"/>
      <c r="C4" s="112"/>
      <c r="D4" s="112"/>
      <c r="E4" s="112"/>
      <c r="F4" s="112"/>
      <c r="G4" s="112"/>
      <c r="H4" s="112"/>
    </row>
    <row r="5" spans="1:8" ht="15.75" customHeight="1">
      <c r="A5" s="113" t="str">
        <f>'P. BDI'!B3</f>
        <v>Edital :</v>
      </c>
      <c r="B5" s="113"/>
      <c r="C5" s="114" t="str">
        <f>'P. BDI'!C3:F3</f>
        <v>TP -preencher</v>
      </c>
      <c r="D5" s="151" t="s">
        <v>188</v>
      </c>
      <c r="E5" s="151"/>
      <c r="F5" s="175">
        <v>20.25</v>
      </c>
      <c r="G5" s="176"/>
      <c r="H5" s="117"/>
    </row>
    <row r="6" spans="1:9" ht="12.75">
      <c r="A6" s="113" t="str">
        <f>'P. BDI'!B4</f>
        <v>Tomador: </v>
      </c>
      <c r="B6" s="113"/>
      <c r="C6" s="114" t="str">
        <f>'P. BDI'!C4:F4</f>
        <v>Prefeitura Municipal de Dois Vizinhos - PR</v>
      </c>
      <c r="D6" s="151" t="s">
        <v>56</v>
      </c>
      <c r="E6" s="151"/>
      <c r="F6" s="154" t="e">
        <f>H113/F5</f>
        <v>#VALUE!</v>
      </c>
      <c r="G6" s="155"/>
      <c r="H6" s="117"/>
      <c r="I6" s="28"/>
    </row>
    <row r="7" spans="1:8" ht="12.75">
      <c r="A7" s="113" t="str">
        <f>'P. BDI'!B5</f>
        <v>Empreendimento: </v>
      </c>
      <c r="B7" s="113"/>
      <c r="C7" s="114" t="str">
        <f>'P. BDI'!C5:F5</f>
        <v>CONSTRUÇÃO LANCHONETE PRAÇA ARI MULLER</v>
      </c>
      <c r="D7" s="115"/>
      <c r="E7" s="116"/>
      <c r="F7" s="116"/>
      <c r="G7" s="116"/>
      <c r="H7" s="116"/>
    </row>
    <row r="8" spans="1:8" ht="12.75">
      <c r="A8" s="113" t="str">
        <f>'P. BDI'!B6</f>
        <v>Local da Obra:</v>
      </c>
      <c r="B8" s="113"/>
      <c r="C8" s="114" t="str">
        <f>'P. BDI'!C6:F6</f>
        <v>PRAÇA ARI MULLER - RUA GUILHERME A. GIORDANI</v>
      </c>
      <c r="D8" s="115"/>
      <c r="E8" s="116"/>
      <c r="F8" s="116"/>
      <c r="G8" s="116"/>
      <c r="H8" s="116"/>
    </row>
    <row r="9" spans="1:8" ht="12.75">
      <c r="A9" s="113" t="str">
        <f>'P. BDI'!B7</f>
        <v>Empresa Prop.:</v>
      </c>
      <c r="B9" s="113"/>
      <c r="C9" s="114" t="str">
        <f>'P. BDI'!C7:F7</f>
        <v>preencher</v>
      </c>
      <c r="D9" s="115"/>
      <c r="E9" s="116"/>
      <c r="F9" s="116"/>
      <c r="G9" s="116"/>
      <c r="H9" s="116"/>
    </row>
    <row r="10" spans="1:8" ht="12.75">
      <c r="A10" s="113" t="str">
        <f>'P. BDI'!B8</f>
        <v>CNPJ:</v>
      </c>
      <c r="B10" s="113"/>
      <c r="C10" s="114" t="str">
        <f>'P. BDI'!C8:F8</f>
        <v>preencher</v>
      </c>
      <c r="D10" s="115"/>
      <c r="E10" s="116"/>
      <c r="F10" s="116"/>
      <c r="G10" s="116"/>
      <c r="H10" s="116"/>
    </row>
    <row r="11" spans="1:8" ht="12.75">
      <c r="A11" s="113" t="str">
        <f>'P. BDI'!B9</f>
        <v>Data Base:</v>
      </c>
      <c r="B11" s="113"/>
      <c r="C11" s="177" t="str">
        <f>'P. BDI'!C9:F9</f>
        <v>preencher</v>
      </c>
      <c r="D11" s="115"/>
      <c r="E11" s="115"/>
      <c r="F11" s="118"/>
      <c r="G11" s="119"/>
      <c r="H11" s="119"/>
    </row>
    <row r="12" spans="1:8" ht="12.75">
      <c r="A12" s="113" t="s">
        <v>258</v>
      </c>
      <c r="B12" s="113"/>
      <c r="C12" s="66" t="e">
        <f>'P. BDI'!F31</f>
        <v>#VALUE!</v>
      </c>
      <c r="D12" s="115"/>
      <c r="E12" s="115"/>
      <c r="F12" s="118"/>
      <c r="G12" s="119"/>
      <c r="H12" s="119"/>
    </row>
    <row r="13" spans="1:8" ht="12.75">
      <c r="A13" s="122"/>
      <c r="B13" s="123"/>
      <c r="C13" s="124"/>
      <c r="D13" s="116"/>
      <c r="E13" s="116"/>
      <c r="F13" s="116"/>
      <c r="G13" s="116"/>
      <c r="H13" s="116"/>
    </row>
    <row r="14" spans="1:8" s="1" customFormat="1" ht="25.5" customHeight="1">
      <c r="A14" s="178" t="s">
        <v>48</v>
      </c>
      <c r="B14" s="178" t="s">
        <v>49</v>
      </c>
      <c r="C14" s="178" t="s">
        <v>50</v>
      </c>
      <c r="D14" s="178" t="s">
        <v>47</v>
      </c>
      <c r="E14" s="178" t="s">
        <v>207</v>
      </c>
      <c r="F14" s="178" t="s">
        <v>51</v>
      </c>
      <c r="G14" s="178" t="s">
        <v>52</v>
      </c>
      <c r="H14" s="178" t="s">
        <v>53</v>
      </c>
    </row>
    <row r="15" spans="1:8" s="1" customFormat="1" ht="14.25" customHeight="1">
      <c r="A15" s="179"/>
      <c r="B15" s="180"/>
      <c r="C15" s="180"/>
      <c r="D15" s="180"/>
      <c r="E15" s="180"/>
      <c r="F15" s="180"/>
      <c r="G15" s="180"/>
      <c r="H15" s="181"/>
    </row>
    <row r="16" spans="1:8" s="2" customFormat="1" ht="12.75">
      <c r="A16" s="182">
        <v>1</v>
      </c>
      <c r="B16" s="183"/>
      <c r="C16" s="184" t="s">
        <v>118</v>
      </c>
      <c r="D16" s="183"/>
      <c r="E16" s="185"/>
      <c r="F16" s="186"/>
      <c r="G16" s="187" t="s">
        <v>1</v>
      </c>
      <c r="H16" s="186" t="e">
        <f>SUM(H17:H21)</f>
        <v>#VALUE!</v>
      </c>
    </row>
    <row r="17" spans="1:8" s="79" customFormat="1" ht="12.75">
      <c r="A17" s="188"/>
      <c r="B17" s="189"/>
      <c r="C17" s="190"/>
      <c r="D17" s="191"/>
      <c r="E17" s="192"/>
      <c r="F17" s="193"/>
      <c r="G17" s="194"/>
      <c r="H17" s="195"/>
    </row>
    <row r="18" spans="1:14" s="2" customFormat="1" ht="22.5">
      <c r="A18" s="196" t="s">
        <v>94</v>
      </c>
      <c r="B18" s="197">
        <v>4813</v>
      </c>
      <c r="C18" s="68" t="s">
        <v>240</v>
      </c>
      <c r="D18" s="198" t="s">
        <v>0</v>
      </c>
      <c r="E18" s="230"/>
      <c r="F18" s="199">
        <f>2*1.125</f>
        <v>2.25</v>
      </c>
      <c r="G18" s="199" t="e">
        <f>ROUND((E18*$C$12)+E18,2)</f>
        <v>#VALUE!</v>
      </c>
      <c r="H18" s="134" t="e">
        <f>ROUND((G18*F18),2)</f>
        <v>#VALUE!</v>
      </c>
      <c r="J18" s="75"/>
      <c r="N18" s="75"/>
    </row>
    <row r="19" spans="1:10" ht="22.5">
      <c r="A19" s="196" t="s">
        <v>95</v>
      </c>
      <c r="B19" s="197">
        <v>96524</v>
      </c>
      <c r="C19" s="68" t="s">
        <v>197</v>
      </c>
      <c r="D19" s="198" t="s">
        <v>97</v>
      </c>
      <c r="E19" s="230"/>
      <c r="F19" s="199">
        <f>80*0.1</f>
        <v>8</v>
      </c>
      <c r="G19" s="199" t="e">
        <f>ROUND((E19*$C$12)+E19,2)</f>
        <v>#VALUE!</v>
      </c>
      <c r="H19" s="134" t="e">
        <f>ROUND((G19*F19),2)</f>
        <v>#VALUE!</v>
      </c>
      <c r="J19" s="75"/>
    </row>
    <row r="20" spans="1:14" s="2" customFormat="1" ht="33.75">
      <c r="A20" s="196" t="s">
        <v>208</v>
      </c>
      <c r="B20" s="197" t="s">
        <v>181</v>
      </c>
      <c r="C20" s="68" t="s">
        <v>182</v>
      </c>
      <c r="D20" s="198" t="s">
        <v>0</v>
      </c>
      <c r="E20" s="230"/>
      <c r="F20" s="199">
        <v>20.25</v>
      </c>
      <c r="G20" s="199" t="e">
        <f>ROUND((E20*$C$12)+E20,2)</f>
        <v>#VALUE!</v>
      </c>
      <c r="H20" s="134" t="e">
        <f>ROUND((G20*F20),2)</f>
        <v>#VALUE!</v>
      </c>
      <c r="J20" s="75"/>
      <c r="N20" s="75"/>
    </row>
    <row r="21" spans="1:14" s="2" customFormat="1" ht="12.75">
      <c r="A21" s="200"/>
      <c r="B21" s="201"/>
      <c r="C21" s="202"/>
      <c r="D21" s="203"/>
      <c r="E21" s="204"/>
      <c r="F21" s="205"/>
      <c r="G21" s="205"/>
      <c r="H21" s="206"/>
      <c r="J21" s="75"/>
      <c r="N21" s="75"/>
    </row>
    <row r="22" spans="1:10" s="2" customFormat="1" ht="12.75">
      <c r="A22" s="182">
        <v>2</v>
      </c>
      <c r="B22" s="183"/>
      <c r="C22" s="184" t="s">
        <v>158</v>
      </c>
      <c r="D22" s="183"/>
      <c r="E22" s="185"/>
      <c r="F22" s="186"/>
      <c r="G22" s="187" t="s">
        <v>1</v>
      </c>
      <c r="H22" s="186" t="e">
        <f>SUM(H23:H33)</f>
        <v>#VALUE!</v>
      </c>
      <c r="J22" s="75"/>
    </row>
    <row r="23" spans="1:10" ht="12.75">
      <c r="A23" s="207"/>
      <c r="B23" s="201"/>
      <c r="C23" s="70"/>
      <c r="D23" s="208"/>
      <c r="E23" s="209"/>
      <c r="F23" s="210"/>
      <c r="G23" s="209"/>
      <c r="H23" s="130"/>
      <c r="J23" s="75"/>
    </row>
    <row r="24" spans="1:10" ht="12.75">
      <c r="A24" s="196" t="s">
        <v>96</v>
      </c>
      <c r="B24" s="197">
        <v>96527</v>
      </c>
      <c r="C24" s="68" t="s">
        <v>198</v>
      </c>
      <c r="D24" s="198" t="s">
        <v>97</v>
      </c>
      <c r="E24" s="230"/>
      <c r="F24" s="199">
        <f>0.2*0.25*26</f>
        <v>1.3</v>
      </c>
      <c r="G24" s="199" t="e">
        <f aca="true" t="shared" si="0" ref="G24:G43">ROUND((E24*$C$12)+E24,2)</f>
        <v>#VALUE!</v>
      </c>
      <c r="H24" s="134" t="e">
        <f aca="true" t="shared" si="1" ref="H24:H32">ROUND((G24*F24),2)</f>
        <v>#VALUE!</v>
      </c>
      <c r="J24" s="75"/>
    </row>
    <row r="25" spans="1:10" s="2" customFormat="1" ht="22.5">
      <c r="A25" s="196" t="s">
        <v>98</v>
      </c>
      <c r="B25" s="197">
        <v>95956</v>
      </c>
      <c r="C25" s="68" t="s">
        <v>145</v>
      </c>
      <c r="D25" s="198" t="s">
        <v>97</v>
      </c>
      <c r="E25" s="230"/>
      <c r="F25" s="211">
        <f>ROUND((0.5*0.5*0.25*4)+(26*0.14*0.25)+(0.12*0.25*2.85*5),2)</f>
        <v>1.59</v>
      </c>
      <c r="G25" s="199" t="e">
        <f t="shared" si="0"/>
        <v>#VALUE!</v>
      </c>
      <c r="H25" s="134" t="e">
        <f t="shared" si="1"/>
        <v>#VALUE!</v>
      </c>
      <c r="J25" s="75"/>
    </row>
    <row r="26" spans="1:10" s="2" customFormat="1" ht="22.5">
      <c r="A26" s="196" t="s">
        <v>99</v>
      </c>
      <c r="B26" s="197">
        <v>98228</v>
      </c>
      <c r="C26" s="68" t="s">
        <v>242</v>
      </c>
      <c r="D26" s="198" t="s">
        <v>109</v>
      </c>
      <c r="E26" s="230"/>
      <c r="F26" s="211">
        <v>5</v>
      </c>
      <c r="G26" s="199" t="e">
        <f>ROUND((E26*$C$12)+E26,2)</f>
        <v>#VALUE!</v>
      </c>
      <c r="H26" s="134" t="e">
        <f>ROUND((G26*F26),2)</f>
        <v>#VALUE!</v>
      </c>
      <c r="J26" s="75"/>
    </row>
    <row r="27" spans="1:10" s="2" customFormat="1" ht="22.5">
      <c r="A27" s="196" t="s">
        <v>100</v>
      </c>
      <c r="B27" s="197" t="s">
        <v>143</v>
      </c>
      <c r="C27" s="68" t="s">
        <v>144</v>
      </c>
      <c r="D27" s="198" t="s">
        <v>0</v>
      </c>
      <c r="E27" s="230"/>
      <c r="F27" s="211">
        <f>26*0.35</f>
        <v>9.1</v>
      </c>
      <c r="G27" s="199" t="e">
        <f t="shared" si="0"/>
        <v>#VALUE!</v>
      </c>
      <c r="H27" s="134" t="e">
        <f t="shared" si="1"/>
        <v>#VALUE!</v>
      </c>
      <c r="J27" s="75"/>
    </row>
    <row r="28" spans="1:10" s="2" customFormat="1" ht="22.5">
      <c r="A28" s="196" t="s">
        <v>101</v>
      </c>
      <c r="B28" s="197">
        <v>93204</v>
      </c>
      <c r="C28" s="68" t="s">
        <v>146</v>
      </c>
      <c r="D28" s="198" t="s">
        <v>109</v>
      </c>
      <c r="E28" s="230"/>
      <c r="F28" s="211">
        <f>5*4.5</f>
        <v>22.5</v>
      </c>
      <c r="G28" s="199" t="e">
        <f t="shared" si="0"/>
        <v>#VALUE!</v>
      </c>
      <c r="H28" s="134" t="e">
        <f t="shared" si="1"/>
        <v>#VALUE!</v>
      </c>
      <c r="J28" s="75"/>
    </row>
    <row r="29" spans="1:10" s="2" customFormat="1" ht="33.75">
      <c r="A29" s="196" t="s">
        <v>140</v>
      </c>
      <c r="B29" s="197">
        <v>87478</v>
      </c>
      <c r="C29" s="68" t="s">
        <v>239</v>
      </c>
      <c r="D29" s="198" t="s">
        <v>0</v>
      </c>
      <c r="E29" s="230"/>
      <c r="F29" s="211">
        <f>(22.5*2.8+3.5*2.2)-(0.9*2.1*3)-(0.5*0.5*2)-(1.35*1+2.2*1)</f>
        <v>60.97999999999999</v>
      </c>
      <c r="G29" s="199" t="e">
        <f t="shared" si="0"/>
        <v>#VALUE!</v>
      </c>
      <c r="H29" s="134" t="e">
        <f t="shared" si="1"/>
        <v>#VALUE!</v>
      </c>
      <c r="J29" s="75"/>
    </row>
    <row r="30" spans="1:10" s="2" customFormat="1" ht="22.5">
      <c r="A30" s="196" t="s">
        <v>209</v>
      </c>
      <c r="B30" s="197">
        <v>87879</v>
      </c>
      <c r="C30" s="68" t="s">
        <v>112</v>
      </c>
      <c r="D30" s="198" t="s">
        <v>0</v>
      </c>
      <c r="E30" s="230"/>
      <c r="F30" s="211">
        <f>F29*2</f>
        <v>121.95999999999998</v>
      </c>
      <c r="G30" s="199" t="e">
        <f t="shared" si="0"/>
        <v>#VALUE!</v>
      </c>
      <c r="H30" s="134" t="e">
        <f t="shared" si="1"/>
        <v>#VALUE!</v>
      </c>
      <c r="J30" s="75"/>
    </row>
    <row r="31" spans="1:10" s="2" customFormat="1" ht="33.75">
      <c r="A31" s="196" t="s">
        <v>210</v>
      </c>
      <c r="B31" s="197">
        <v>87532</v>
      </c>
      <c r="C31" s="68" t="s">
        <v>189</v>
      </c>
      <c r="D31" s="198" t="s">
        <v>0</v>
      </c>
      <c r="E31" s="230"/>
      <c r="F31" s="211">
        <f>F30</f>
        <v>121.95999999999998</v>
      </c>
      <c r="G31" s="199" t="e">
        <f t="shared" si="0"/>
        <v>#VALUE!</v>
      </c>
      <c r="H31" s="134" t="e">
        <f t="shared" si="1"/>
        <v>#VALUE!</v>
      </c>
      <c r="J31" s="75"/>
    </row>
    <row r="32" spans="1:10" s="2" customFormat="1" ht="22.5">
      <c r="A32" s="196" t="s">
        <v>241</v>
      </c>
      <c r="B32" s="197">
        <v>93194</v>
      </c>
      <c r="C32" s="68" t="s">
        <v>206</v>
      </c>
      <c r="D32" s="198" t="s">
        <v>109</v>
      </c>
      <c r="E32" s="230"/>
      <c r="F32" s="211">
        <v>9</v>
      </c>
      <c r="G32" s="199" t="e">
        <f t="shared" si="0"/>
        <v>#VALUE!</v>
      </c>
      <c r="H32" s="134" t="e">
        <f t="shared" si="1"/>
        <v>#VALUE!</v>
      </c>
      <c r="J32" s="75"/>
    </row>
    <row r="33" spans="1:10" s="2" customFormat="1" ht="12.75">
      <c r="A33" s="200"/>
      <c r="B33" s="201"/>
      <c r="C33" s="76"/>
      <c r="D33" s="208"/>
      <c r="E33" s="209"/>
      <c r="F33" s="192"/>
      <c r="G33" s="199" t="e">
        <f t="shared" si="0"/>
        <v>#VALUE!</v>
      </c>
      <c r="H33" s="206"/>
      <c r="J33" s="75"/>
    </row>
    <row r="34" spans="1:10" s="2" customFormat="1" ht="12.75">
      <c r="A34" s="182">
        <v>3</v>
      </c>
      <c r="B34" s="183"/>
      <c r="C34" s="184" t="s">
        <v>93</v>
      </c>
      <c r="D34" s="183"/>
      <c r="E34" s="185"/>
      <c r="F34" s="186"/>
      <c r="G34" s="187" t="s">
        <v>1</v>
      </c>
      <c r="H34" s="186" t="e">
        <f>SUM(H35:H44)</f>
        <v>#VALUE!</v>
      </c>
      <c r="J34" s="75"/>
    </row>
    <row r="35" spans="1:8" ht="12.75">
      <c r="A35" s="212"/>
      <c r="B35" s="189"/>
      <c r="C35" s="213"/>
      <c r="D35" s="214"/>
      <c r="E35" s="215"/>
      <c r="F35" s="213"/>
      <c r="G35" s="209"/>
      <c r="H35" s="216"/>
    </row>
    <row r="36" spans="1:10" s="2" customFormat="1" ht="22.5">
      <c r="A36" s="196" t="s">
        <v>120</v>
      </c>
      <c r="B36" s="197">
        <v>92548</v>
      </c>
      <c r="C36" s="68" t="s">
        <v>253</v>
      </c>
      <c r="D36" s="198" t="s">
        <v>106</v>
      </c>
      <c r="E36" s="230"/>
      <c r="F36" s="199">
        <v>2</v>
      </c>
      <c r="G36" s="199" t="e">
        <f t="shared" si="0"/>
        <v>#VALUE!</v>
      </c>
      <c r="H36" s="134" t="e">
        <f aca="true" t="shared" si="2" ref="H36:H42">ROUND((G36*F36),2)</f>
        <v>#VALUE!</v>
      </c>
      <c r="J36" s="73"/>
    </row>
    <row r="37" spans="1:10" s="2" customFormat="1" ht="45">
      <c r="A37" s="196" t="s">
        <v>102</v>
      </c>
      <c r="B37" s="197">
        <v>92540</v>
      </c>
      <c r="C37" s="68" t="s">
        <v>160</v>
      </c>
      <c r="D37" s="198" t="s">
        <v>0</v>
      </c>
      <c r="E37" s="230"/>
      <c r="F37" s="199">
        <f>ROUND(5.7*5.7*1.1,2)</f>
        <v>35.74</v>
      </c>
      <c r="G37" s="199" t="e">
        <f t="shared" si="0"/>
        <v>#VALUE!</v>
      </c>
      <c r="H37" s="134" t="e">
        <f t="shared" si="2"/>
        <v>#VALUE!</v>
      </c>
      <c r="J37" s="73"/>
    </row>
    <row r="38" spans="1:10" s="2" customFormat="1" ht="22.5">
      <c r="A38" s="196" t="s">
        <v>103</v>
      </c>
      <c r="B38" s="197">
        <v>94226</v>
      </c>
      <c r="C38" s="68" t="s">
        <v>254</v>
      </c>
      <c r="D38" s="198" t="s">
        <v>0</v>
      </c>
      <c r="E38" s="230"/>
      <c r="F38" s="199">
        <f>F37</f>
        <v>35.74</v>
      </c>
      <c r="G38" s="199" t="e">
        <f t="shared" si="0"/>
        <v>#VALUE!</v>
      </c>
      <c r="H38" s="134" t="e">
        <f t="shared" si="2"/>
        <v>#VALUE!</v>
      </c>
      <c r="J38" s="73"/>
    </row>
    <row r="39" spans="1:10" s="2" customFormat="1" ht="22.5">
      <c r="A39" s="196" t="s">
        <v>121</v>
      </c>
      <c r="B39" s="197">
        <v>94443</v>
      </c>
      <c r="C39" s="68" t="s">
        <v>186</v>
      </c>
      <c r="D39" s="198" t="s">
        <v>0</v>
      </c>
      <c r="E39" s="230"/>
      <c r="F39" s="199">
        <f>F37</f>
        <v>35.74</v>
      </c>
      <c r="G39" s="199" t="e">
        <f t="shared" si="0"/>
        <v>#VALUE!</v>
      </c>
      <c r="H39" s="134" t="e">
        <f t="shared" si="2"/>
        <v>#VALUE!</v>
      </c>
      <c r="J39" s="73"/>
    </row>
    <row r="40" spans="1:10" s="2" customFormat="1" ht="33.75">
      <c r="A40" s="196" t="s">
        <v>211</v>
      </c>
      <c r="B40" s="197">
        <v>94219</v>
      </c>
      <c r="C40" s="68" t="s">
        <v>161</v>
      </c>
      <c r="D40" s="198" t="s">
        <v>109</v>
      </c>
      <c r="E40" s="230"/>
      <c r="F40" s="199">
        <f>16*1.1</f>
        <v>17.6</v>
      </c>
      <c r="G40" s="199" t="e">
        <f t="shared" si="0"/>
        <v>#VALUE!</v>
      </c>
      <c r="H40" s="134" t="e">
        <f t="shared" si="2"/>
        <v>#VALUE!</v>
      </c>
      <c r="J40" s="73"/>
    </row>
    <row r="41" spans="1:10" s="2" customFormat="1" ht="22.5">
      <c r="A41" s="196" t="s">
        <v>212</v>
      </c>
      <c r="B41" s="197">
        <v>84093</v>
      </c>
      <c r="C41" s="68" t="s">
        <v>187</v>
      </c>
      <c r="D41" s="198" t="s">
        <v>109</v>
      </c>
      <c r="E41" s="230"/>
      <c r="F41" s="199">
        <f>5.7*4</f>
        <v>22.8</v>
      </c>
      <c r="G41" s="199" t="e">
        <f t="shared" si="0"/>
        <v>#VALUE!</v>
      </c>
      <c r="H41" s="134" t="e">
        <f t="shared" si="2"/>
        <v>#VALUE!</v>
      </c>
      <c r="J41" s="73"/>
    </row>
    <row r="42" spans="1:10" s="2" customFormat="1" ht="22.5">
      <c r="A42" s="196" t="s">
        <v>213</v>
      </c>
      <c r="B42" s="197">
        <v>96111</v>
      </c>
      <c r="C42" s="68" t="s">
        <v>199</v>
      </c>
      <c r="D42" s="198" t="s">
        <v>0</v>
      </c>
      <c r="E42" s="230"/>
      <c r="F42" s="199">
        <f>10.71+3+3</f>
        <v>16.71</v>
      </c>
      <c r="G42" s="199" t="e">
        <f t="shared" si="0"/>
        <v>#VALUE!</v>
      </c>
      <c r="H42" s="134" t="e">
        <f t="shared" si="2"/>
        <v>#VALUE!</v>
      </c>
      <c r="J42" s="73"/>
    </row>
    <row r="43" spans="1:10" s="2" customFormat="1" ht="22.5">
      <c r="A43" s="196" t="s">
        <v>214</v>
      </c>
      <c r="B43" s="197">
        <v>96111</v>
      </c>
      <c r="C43" s="68" t="s">
        <v>200</v>
      </c>
      <c r="D43" s="198" t="s">
        <v>0</v>
      </c>
      <c r="E43" s="230"/>
      <c r="F43" s="199">
        <f>5.7*5.7-4.5*4.5</f>
        <v>12.240000000000002</v>
      </c>
      <c r="G43" s="199" t="e">
        <f t="shared" si="0"/>
        <v>#VALUE!</v>
      </c>
      <c r="H43" s="134" t="e">
        <f>ROUND((G43*F43),2)</f>
        <v>#VALUE!</v>
      </c>
      <c r="J43" s="75"/>
    </row>
    <row r="44" spans="1:10" s="2" customFormat="1" ht="12.75">
      <c r="A44" s="200"/>
      <c r="B44" s="201"/>
      <c r="C44" s="76"/>
      <c r="D44" s="208"/>
      <c r="E44" s="209"/>
      <c r="F44" s="192"/>
      <c r="G44" s="205"/>
      <c r="H44" s="206"/>
      <c r="J44" s="75"/>
    </row>
    <row r="45" spans="1:10" ht="12.75">
      <c r="A45" s="182">
        <v>4</v>
      </c>
      <c r="B45" s="183"/>
      <c r="C45" s="184" t="s">
        <v>190</v>
      </c>
      <c r="D45" s="183"/>
      <c r="E45" s="185"/>
      <c r="F45" s="187"/>
      <c r="G45" s="187" t="s">
        <v>1</v>
      </c>
      <c r="H45" s="186" t="e">
        <f>SUM(H46:H56)</f>
        <v>#VALUE!</v>
      </c>
      <c r="J45" s="75"/>
    </row>
    <row r="46" spans="1:10" ht="12.75">
      <c r="A46" s="217"/>
      <c r="B46" s="201"/>
      <c r="C46" s="68"/>
      <c r="D46" s="208"/>
      <c r="E46" s="209"/>
      <c r="F46" s="210"/>
      <c r="G46" s="209"/>
      <c r="H46" s="130"/>
      <c r="J46" s="75"/>
    </row>
    <row r="47" spans="1:10" ht="12.75">
      <c r="A47" s="196" t="s">
        <v>104</v>
      </c>
      <c r="B47" s="197">
        <v>96995</v>
      </c>
      <c r="C47" s="68" t="s">
        <v>117</v>
      </c>
      <c r="D47" s="198" t="s">
        <v>97</v>
      </c>
      <c r="E47" s="230"/>
      <c r="F47" s="199">
        <f>20.25*0.2</f>
        <v>4.05</v>
      </c>
      <c r="G47" s="199" t="e">
        <f aca="true" t="shared" si="3" ref="G47:G52">ROUND((E47*$C$12)+E47,2)</f>
        <v>#VALUE!</v>
      </c>
      <c r="H47" s="134" t="e">
        <f aca="true" t="shared" si="4" ref="H47:H52">ROUND((G47*F47),2)</f>
        <v>#VALUE!</v>
      </c>
      <c r="J47" s="75"/>
    </row>
    <row r="48" spans="1:10" ht="22.5">
      <c r="A48" s="196" t="s">
        <v>105</v>
      </c>
      <c r="B48" s="197">
        <v>94990</v>
      </c>
      <c r="C48" s="68" t="s">
        <v>201</v>
      </c>
      <c r="D48" s="198" t="s">
        <v>97</v>
      </c>
      <c r="E48" s="230"/>
      <c r="F48" s="199">
        <f>ROUND(16.71*0.04,2)</f>
        <v>0.67</v>
      </c>
      <c r="G48" s="199" t="e">
        <f t="shared" si="3"/>
        <v>#VALUE!</v>
      </c>
      <c r="H48" s="134" t="e">
        <f t="shared" si="4"/>
        <v>#VALUE!</v>
      </c>
      <c r="J48" s="75"/>
    </row>
    <row r="49" spans="1:10" s="2" customFormat="1" ht="22.5">
      <c r="A49" s="196" t="s">
        <v>107</v>
      </c>
      <c r="B49" s="197">
        <v>87622</v>
      </c>
      <c r="C49" s="68" t="s">
        <v>147</v>
      </c>
      <c r="D49" s="198" t="s">
        <v>0</v>
      </c>
      <c r="E49" s="230"/>
      <c r="F49" s="211">
        <v>16.71</v>
      </c>
      <c r="G49" s="199" t="e">
        <f t="shared" si="3"/>
        <v>#VALUE!</v>
      </c>
      <c r="H49" s="134" t="e">
        <f t="shared" si="4"/>
        <v>#VALUE!</v>
      </c>
      <c r="J49" s="75"/>
    </row>
    <row r="50" spans="1:10" s="2" customFormat="1" ht="12.75">
      <c r="A50" s="196" t="s">
        <v>122</v>
      </c>
      <c r="B50" s="197">
        <v>87246</v>
      </c>
      <c r="C50" s="68" t="s">
        <v>113</v>
      </c>
      <c r="D50" s="198" t="s">
        <v>0</v>
      </c>
      <c r="E50" s="230"/>
      <c r="F50" s="211">
        <f>F49</f>
        <v>16.71</v>
      </c>
      <c r="G50" s="199" t="e">
        <f t="shared" si="3"/>
        <v>#VALUE!</v>
      </c>
      <c r="H50" s="134" t="e">
        <f t="shared" si="4"/>
        <v>#VALUE!</v>
      </c>
      <c r="J50" s="75"/>
    </row>
    <row r="51" spans="1:10" s="2" customFormat="1" ht="22.5">
      <c r="A51" s="196" t="s">
        <v>215</v>
      </c>
      <c r="B51" s="197">
        <v>87268</v>
      </c>
      <c r="C51" s="68" t="s">
        <v>114</v>
      </c>
      <c r="D51" s="198" t="s">
        <v>0</v>
      </c>
      <c r="E51" s="230"/>
      <c r="F51" s="211">
        <f>(27.5*2.7)-(0.9*2.1*3)-(0.5*0.5*2)-(1.35*1+2.2*1)</f>
        <v>64.53</v>
      </c>
      <c r="G51" s="199" t="e">
        <f t="shared" si="3"/>
        <v>#VALUE!</v>
      </c>
      <c r="H51" s="134" t="e">
        <f t="shared" si="4"/>
        <v>#VALUE!</v>
      </c>
      <c r="J51" s="75"/>
    </row>
    <row r="52" spans="1:10" s="2" customFormat="1" ht="33.75">
      <c r="A52" s="196" t="s">
        <v>216</v>
      </c>
      <c r="B52" s="197">
        <v>87243</v>
      </c>
      <c r="C52" s="68" t="s">
        <v>238</v>
      </c>
      <c r="D52" s="198" t="s">
        <v>0</v>
      </c>
      <c r="E52" s="230"/>
      <c r="F52" s="211">
        <f>(0.9*2.6*2)+(2.25*2.6*2)</f>
        <v>16.380000000000003</v>
      </c>
      <c r="G52" s="199" t="e">
        <f t="shared" si="3"/>
        <v>#VALUE!</v>
      </c>
      <c r="H52" s="134" t="e">
        <f t="shared" si="4"/>
        <v>#VALUE!</v>
      </c>
      <c r="J52" s="75"/>
    </row>
    <row r="53" spans="1:10" s="2" customFormat="1" ht="12.75">
      <c r="A53" s="196"/>
      <c r="B53" s="197"/>
      <c r="C53" s="68" t="s">
        <v>191</v>
      </c>
      <c r="D53" s="198"/>
      <c r="E53" s="230"/>
      <c r="F53" s="211"/>
      <c r="G53" s="199"/>
      <c r="H53" s="134"/>
      <c r="J53" s="75"/>
    </row>
    <row r="54" spans="1:10" s="2" customFormat="1" ht="33.75">
      <c r="A54" s="196" t="s">
        <v>217</v>
      </c>
      <c r="B54" s="197">
        <v>92397</v>
      </c>
      <c r="C54" s="68" t="s">
        <v>178</v>
      </c>
      <c r="D54" s="198" t="s">
        <v>0</v>
      </c>
      <c r="E54" s="230"/>
      <c r="F54" s="211">
        <v>80</v>
      </c>
      <c r="G54" s="199" t="e">
        <f>ROUND((E54*$C$12)+E54,2)</f>
        <v>#VALUE!</v>
      </c>
      <c r="H54" s="134" t="e">
        <f>ROUND((G54*F54),2)</f>
        <v>#VALUE!</v>
      </c>
      <c r="J54" s="75"/>
    </row>
    <row r="55" spans="1:10" s="2" customFormat="1" ht="12.75">
      <c r="A55" s="196" t="s">
        <v>218</v>
      </c>
      <c r="B55" s="197" t="s">
        <v>162</v>
      </c>
      <c r="C55" s="68" t="s">
        <v>202</v>
      </c>
      <c r="D55" s="198" t="s">
        <v>97</v>
      </c>
      <c r="E55" s="230"/>
      <c r="F55" s="211">
        <f>ROUND(15*0.13*0.5,2)</f>
        <v>0.98</v>
      </c>
      <c r="G55" s="199" t="e">
        <f>ROUND((E55*$C$12)+E55,2)</f>
        <v>#VALUE!</v>
      </c>
      <c r="H55" s="134" t="e">
        <f>ROUND((G55*F55),2)</f>
        <v>#VALUE!</v>
      </c>
      <c r="J55" s="75"/>
    </row>
    <row r="56" spans="1:10" ht="12.75">
      <c r="A56" s="218"/>
      <c r="B56" s="201"/>
      <c r="C56" s="69"/>
      <c r="D56" s="208"/>
      <c r="E56" s="209"/>
      <c r="F56" s="210"/>
      <c r="G56" s="219"/>
      <c r="H56" s="130"/>
      <c r="J56" s="75"/>
    </row>
    <row r="57" spans="1:10" ht="12.75">
      <c r="A57" s="182">
        <v>5</v>
      </c>
      <c r="B57" s="183"/>
      <c r="C57" s="184" t="s">
        <v>245</v>
      </c>
      <c r="D57" s="183"/>
      <c r="E57" s="185"/>
      <c r="F57" s="186"/>
      <c r="G57" s="187" t="s">
        <v>1</v>
      </c>
      <c r="H57" s="186" t="e">
        <f>SUM(H58:H70)</f>
        <v>#VALUE!</v>
      </c>
      <c r="J57" s="75"/>
    </row>
    <row r="58" spans="1:10" s="2" customFormat="1" ht="12.75">
      <c r="A58" s="217"/>
      <c r="B58" s="189"/>
      <c r="C58" s="74"/>
      <c r="D58" s="214"/>
      <c r="E58" s="215"/>
      <c r="F58" s="220"/>
      <c r="G58" s="215"/>
      <c r="H58" s="221"/>
      <c r="J58" s="75"/>
    </row>
    <row r="59" spans="1:10" ht="22.5">
      <c r="A59" s="196" t="s">
        <v>108</v>
      </c>
      <c r="B59" s="197">
        <v>34377</v>
      </c>
      <c r="C59" s="68" t="s">
        <v>192</v>
      </c>
      <c r="D59" s="198" t="s">
        <v>106</v>
      </c>
      <c r="E59" s="230"/>
      <c r="F59" s="199">
        <v>2</v>
      </c>
      <c r="G59" s="199" t="e">
        <f aca="true" t="shared" si="5" ref="G59:G64">ROUND((E59*$C$12)+E59,2)</f>
        <v>#VALUE!</v>
      </c>
      <c r="H59" s="134" t="e">
        <f aca="true" t="shared" si="6" ref="H59:H64">ROUND((G59*F59),2)</f>
        <v>#VALUE!</v>
      </c>
      <c r="J59" s="75"/>
    </row>
    <row r="60" spans="1:10" ht="12.75">
      <c r="A60" s="196" t="s">
        <v>123</v>
      </c>
      <c r="B60" s="197">
        <v>34747</v>
      </c>
      <c r="C60" s="68" t="s">
        <v>148</v>
      </c>
      <c r="D60" s="198" t="s">
        <v>109</v>
      </c>
      <c r="E60" s="230"/>
      <c r="F60" s="199">
        <f>0.5+0.5</f>
        <v>1</v>
      </c>
      <c r="G60" s="199" t="e">
        <f t="shared" si="5"/>
        <v>#VALUE!</v>
      </c>
      <c r="H60" s="134" t="e">
        <f t="shared" si="6"/>
        <v>#VALUE!</v>
      </c>
      <c r="J60" s="75"/>
    </row>
    <row r="61" spans="1:10" ht="22.5">
      <c r="A61" s="196" t="s">
        <v>124</v>
      </c>
      <c r="B61" s="197" t="s">
        <v>163</v>
      </c>
      <c r="C61" s="68" t="s">
        <v>203</v>
      </c>
      <c r="D61" s="198" t="s">
        <v>0</v>
      </c>
      <c r="E61" s="230"/>
      <c r="F61" s="199">
        <f>0.9*2.1*3</f>
        <v>5.67</v>
      </c>
      <c r="G61" s="199" t="e">
        <f t="shared" si="5"/>
        <v>#VALUE!</v>
      </c>
      <c r="H61" s="134" t="e">
        <f t="shared" si="6"/>
        <v>#VALUE!</v>
      </c>
      <c r="J61" s="75"/>
    </row>
    <row r="62" spans="1:10" ht="56.25">
      <c r="A62" s="196" t="s">
        <v>219</v>
      </c>
      <c r="B62" s="197">
        <v>93442</v>
      </c>
      <c r="C62" s="68" t="s">
        <v>119</v>
      </c>
      <c r="D62" s="198" t="s">
        <v>106</v>
      </c>
      <c r="E62" s="230"/>
      <c r="F62" s="199">
        <v>1</v>
      </c>
      <c r="G62" s="199" t="e">
        <f t="shared" si="5"/>
        <v>#VALUE!</v>
      </c>
      <c r="H62" s="134" t="e">
        <f t="shared" si="6"/>
        <v>#VALUE!</v>
      </c>
      <c r="J62" s="75"/>
    </row>
    <row r="63" spans="1:10" ht="26.25" customHeight="1">
      <c r="A63" s="196" t="s">
        <v>220</v>
      </c>
      <c r="B63" s="197">
        <v>79627</v>
      </c>
      <c r="C63" s="68" t="s">
        <v>115</v>
      </c>
      <c r="D63" s="198" t="s">
        <v>0</v>
      </c>
      <c r="E63" s="230"/>
      <c r="F63" s="199">
        <f>ROUND((1.35*0.5)+(2.2*0.5),2)</f>
        <v>1.78</v>
      </c>
      <c r="G63" s="199" t="e">
        <f t="shared" si="5"/>
        <v>#VALUE!</v>
      </c>
      <c r="H63" s="134" t="e">
        <f t="shared" si="6"/>
        <v>#VALUE!</v>
      </c>
      <c r="J63" s="75"/>
    </row>
    <row r="64" spans="1:10" ht="22.5">
      <c r="A64" s="196" t="s">
        <v>221</v>
      </c>
      <c r="B64" s="197">
        <v>4910</v>
      </c>
      <c r="C64" s="68" t="s">
        <v>204</v>
      </c>
      <c r="D64" s="198" t="s">
        <v>0</v>
      </c>
      <c r="E64" s="230"/>
      <c r="F64" s="199">
        <f>(1.35*1+2.2*1)</f>
        <v>3.5500000000000003</v>
      </c>
      <c r="G64" s="199" t="e">
        <f t="shared" si="5"/>
        <v>#VALUE!</v>
      </c>
      <c r="H64" s="134" t="e">
        <f t="shared" si="6"/>
        <v>#VALUE!</v>
      </c>
      <c r="J64" s="75"/>
    </row>
    <row r="65" spans="1:10" ht="22.5">
      <c r="A65" s="196" t="s">
        <v>248</v>
      </c>
      <c r="B65" s="197">
        <v>36080</v>
      </c>
      <c r="C65" s="68" t="s">
        <v>193</v>
      </c>
      <c r="D65" s="198" t="s">
        <v>106</v>
      </c>
      <c r="E65" s="230"/>
      <c r="F65" s="199">
        <v>8</v>
      </c>
      <c r="G65" s="199" t="e">
        <f>ROUND((E65*$C$12)+E65,2)</f>
        <v>#VALUE!</v>
      </c>
      <c r="H65" s="134" t="e">
        <f>ROUND((G65*F65),2)</f>
        <v>#VALUE!</v>
      </c>
      <c r="J65" s="75"/>
    </row>
    <row r="66" spans="1:10" ht="22.5">
      <c r="A66" s="196" t="s">
        <v>249</v>
      </c>
      <c r="B66" s="197">
        <v>95544</v>
      </c>
      <c r="C66" s="68" t="s">
        <v>175</v>
      </c>
      <c r="D66" s="198" t="s">
        <v>106</v>
      </c>
      <c r="E66" s="230"/>
      <c r="F66" s="199">
        <v>2</v>
      </c>
      <c r="G66" s="199" t="e">
        <f>ROUND((E66*$C$12)+E66,2)</f>
        <v>#VALUE!</v>
      </c>
      <c r="H66" s="134" t="e">
        <f>ROUND((G66*F66),2)</f>
        <v>#VALUE!</v>
      </c>
      <c r="J66" s="75"/>
    </row>
    <row r="67" spans="1:10" ht="22.5">
      <c r="A67" s="196" t="s">
        <v>250</v>
      </c>
      <c r="B67" s="197">
        <v>85005</v>
      </c>
      <c r="C67" s="68" t="s">
        <v>246</v>
      </c>
      <c r="D67" s="198" t="s">
        <v>0</v>
      </c>
      <c r="E67" s="230"/>
      <c r="F67" s="199">
        <f>2*0.3*0.4</f>
        <v>0.24</v>
      </c>
      <c r="G67" s="199" t="e">
        <f>ROUND((E67*$C$12)+E67,2)</f>
        <v>#VALUE!</v>
      </c>
      <c r="H67" s="134" t="e">
        <f>ROUND((G67*F67),2)</f>
        <v>#VALUE!</v>
      </c>
      <c r="J67" s="75"/>
    </row>
    <row r="68" spans="1:10" ht="22.5">
      <c r="A68" s="196" t="s">
        <v>251</v>
      </c>
      <c r="B68" s="197">
        <v>95547</v>
      </c>
      <c r="C68" s="68" t="s">
        <v>247</v>
      </c>
      <c r="D68" s="198" t="s">
        <v>106</v>
      </c>
      <c r="E68" s="230"/>
      <c r="F68" s="199">
        <v>2</v>
      </c>
      <c r="G68" s="199" t="e">
        <f>ROUND((E68*$C$12)+E68,2)</f>
        <v>#VALUE!</v>
      </c>
      <c r="H68" s="134" t="e">
        <f>ROUND((G68*F68),2)</f>
        <v>#VALUE!</v>
      </c>
      <c r="J68" s="75"/>
    </row>
    <row r="69" spans="1:10" ht="22.5">
      <c r="A69" s="196" t="s">
        <v>252</v>
      </c>
      <c r="B69" s="197">
        <v>37401</v>
      </c>
      <c r="C69" s="68" t="s">
        <v>185</v>
      </c>
      <c r="D69" s="198" t="s">
        <v>106</v>
      </c>
      <c r="E69" s="230"/>
      <c r="F69" s="199">
        <v>2</v>
      </c>
      <c r="G69" s="199" t="e">
        <f>ROUND((E69*$C$12)+E69,2)</f>
        <v>#VALUE!</v>
      </c>
      <c r="H69" s="134" t="e">
        <f>ROUND((G69*F69),2)</f>
        <v>#VALUE!</v>
      </c>
      <c r="J69" s="75"/>
    </row>
    <row r="70" spans="1:10" ht="12.75">
      <c r="A70" s="222"/>
      <c r="B70" s="201"/>
      <c r="C70" s="76"/>
      <c r="D70" s="208"/>
      <c r="E70" s="209"/>
      <c r="F70" s="205"/>
      <c r="G70" s="223"/>
      <c r="H70" s="206"/>
      <c r="J70" s="75"/>
    </row>
    <row r="71" spans="1:10" ht="12.75">
      <c r="A71" s="182">
        <v>6</v>
      </c>
      <c r="B71" s="183"/>
      <c r="C71" s="184" t="s">
        <v>155</v>
      </c>
      <c r="D71" s="183"/>
      <c r="E71" s="185"/>
      <c r="F71" s="186"/>
      <c r="G71" s="187" t="s">
        <v>1</v>
      </c>
      <c r="H71" s="186" t="e">
        <f>SUM(H72:H85)</f>
        <v>#VALUE!</v>
      </c>
      <c r="J71" s="75"/>
    </row>
    <row r="72" spans="1:8" ht="12.75">
      <c r="A72" s="212"/>
      <c r="B72" s="189"/>
      <c r="C72" s="213"/>
      <c r="D72" s="214"/>
      <c r="E72" s="215"/>
      <c r="F72" s="213"/>
      <c r="G72" s="213"/>
      <c r="H72" s="216"/>
    </row>
    <row r="73" spans="1:10" ht="38.25" customHeight="1">
      <c r="A73" s="196" t="s">
        <v>110</v>
      </c>
      <c r="B73" s="197">
        <v>86931</v>
      </c>
      <c r="C73" s="68" t="s">
        <v>173</v>
      </c>
      <c r="D73" s="198" t="s">
        <v>106</v>
      </c>
      <c r="E73" s="230"/>
      <c r="F73" s="199">
        <v>2</v>
      </c>
      <c r="G73" s="199" t="e">
        <f aca="true" t="shared" si="7" ref="G73:G82">ROUND((E73*$C$12)+E73,2)</f>
        <v>#VALUE!</v>
      </c>
      <c r="H73" s="134" t="e">
        <f aca="true" t="shared" si="8" ref="H73:H82">ROUND((G73*F73),2)</f>
        <v>#VALUE!</v>
      </c>
      <c r="J73" s="75"/>
    </row>
    <row r="74" spans="1:10" ht="45">
      <c r="A74" s="196" t="s">
        <v>111</v>
      </c>
      <c r="B74" s="197">
        <v>86939</v>
      </c>
      <c r="C74" s="68" t="s">
        <v>174</v>
      </c>
      <c r="D74" s="198" t="s">
        <v>106</v>
      </c>
      <c r="E74" s="230"/>
      <c r="F74" s="199">
        <v>2</v>
      </c>
      <c r="G74" s="199" t="e">
        <f t="shared" si="7"/>
        <v>#VALUE!</v>
      </c>
      <c r="H74" s="134" t="e">
        <f t="shared" si="8"/>
        <v>#VALUE!</v>
      </c>
      <c r="J74" s="75"/>
    </row>
    <row r="75" spans="1:10" s="2" customFormat="1" ht="22.5">
      <c r="A75" s="196" t="s">
        <v>125</v>
      </c>
      <c r="B75" s="197" t="s">
        <v>177</v>
      </c>
      <c r="C75" s="68" t="s">
        <v>196</v>
      </c>
      <c r="D75" s="198" t="s">
        <v>109</v>
      </c>
      <c r="E75" s="230"/>
      <c r="F75" s="211">
        <v>30</v>
      </c>
      <c r="G75" s="199" t="e">
        <f>ROUND((E75*$C$12)+E75,2)</f>
        <v>#VALUE!</v>
      </c>
      <c r="H75" s="134" t="e">
        <f>ROUND((G75*F75),2)</f>
        <v>#VALUE!</v>
      </c>
      <c r="J75" s="75"/>
    </row>
    <row r="76" spans="1:10" ht="33.75">
      <c r="A76" s="196" t="s">
        <v>126</v>
      </c>
      <c r="B76" s="197">
        <v>89972</v>
      </c>
      <c r="C76" s="68" t="s">
        <v>176</v>
      </c>
      <c r="D76" s="198" t="s">
        <v>106</v>
      </c>
      <c r="E76" s="230"/>
      <c r="F76" s="199">
        <v>3</v>
      </c>
      <c r="G76" s="199" t="e">
        <f t="shared" si="7"/>
        <v>#VALUE!</v>
      </c>
      <c r="H76" s="134" t="e">
        <f t="shared" si="8"/>
        <v>#VALUE!</v>
      </c>
      <c r="J76" s="75"/>
    </row>
    <row r="77" spans="1:10" ht="22.5">
      <c r="A77" s="196" t="s">
        <v>127</v>
      </c>
      <c r="B77" s="197">
        <v>91785</v>
      </c>
      <c r="C77" s="68" t="s">
        <v>152</v>
      </c>
      <c r="D77" s="198" t="s">
        <v>109</v>
      </c>
      <c r="E77" s="230"/>
      <c r="F77" s="199">
        <v>12</v>
      </c>
      <c r="G77" s="199" t="e">
        <f t="shared" si="7"/>
        <v>#VALUE!</v>
      </c>
      <c r="H77" s="134" t="e">
        <f t="shared" si="8"/>
        <v>#VALUE!</v>
      </c>
      <c r="J77" s="75"/>
    </row>
    <row r="78" spans="1:10" ht="33.75">
      <c r="A78" s="196" t="s">
        <v>128</v>
      </c>
      <c r="B78" s="197">
        <v>91792</v>
      </c>
      <c r="C78" s="68" t="s">
        <v>153</v>
      </c>
      <c r="D78" s="198" t="s">
        <v>109</v>
      </c>
      <c r="E78" s="230"/>
      <c r="F78" s="199">
        <v>5</v>
      </c>
      <c r="G78" s="199" t="e">
        <f t="shared" si="7"/>
        <v>#VALUE!</v>
      </c>
      <c r="H78" s="134" t="e">
        <f t="shared" si="8"/>
        <v>#VALUE!</v>
      </c>
      <c r="J78" s="75"/>
    </row>
    <row r="79" spans="1:10" ht="33.75">
      <c r="A79" s="196" t="s">
        <v>129</v>
      </c>
      <c r="B79" s="197">
        <v>91793</v>
      </c>
      <c r="C79" s="68" t="s">
        <v>194</v>
      </c>
      <c r="D79" s="198" t="s">
        <v>109</v>
      </c>
      <c r="E79" s="230"/>
      <c r="F79" s="199">
        <v>7</v>
      </c>
      <c r="G79" s="199" t="e">
        <f>ROUND((E79*$C$12)+E79,2)</f>
        <v>#VALUE!</v>
      </c>
      <c r="H79" s="134" t="e">
        <f>ROUND((G79*F79),2)</f>
        <v>#VALUE!</v>
      </c>
      <c r="J79" s="75"/>
    </row>
    <row r="80" spans="1:10" ht="22.5">
      <c r="A80" s="196" t="s">
        <v>130</v>
      </c>
      <c r="B80" s="197">
        <v>91795</v>
      </c>
      <c r="C80" s="68" t="s">
        <v>154</v>
      </c>
      <c r="D80" s="198" t="s">
        <v>109</v>
      </c>
      <c r="E80" s="230"/>
      <c r="F80" s="199">
        <v>10</v>
      </c>
      <c r="G80" s="199" t="e">
        <f t="shared" si="7"/>
        <v>#VALUE!</v>
      </c>
      <c r="H80" s="134" t="e">
        <f t="shared" si="8"/>
        <v>#VALUE!</v>
      </c>
      <c r="J80" s="75"/>
    </row>
    <row r="81" spans="1:10" ht="33.75">
      <c r="A81" s="196" t="s">
        <v>131</v>
      </c>
      <c r="B81" s="197">
        <v>89707</v>
      </c>
      <c r="C81" s="68" t="s">
        <v>149</v>
      </c>
      <c r="D81" s="198" t="s">
        <v>106</v>
      </c>
      <c r="E81" s="230"/>
      <c r="F81" s="199">
        <v>3</v>
      </c>
      <c r="G81" s="199" t="e">
        <f t="shared" si="7"/>
        <v>#VALUE!</v>
      </c>
      <c r="H81" s="134" t="e">
        <f t="shared" si="8"/>
        <v>#VALUE!</v>
      </c>
      <c r="J81" s="75"/>
    </row>
    <row r="82" spans="1:10" s="2" customFormat="1" ht="22.5">
      <c r="A82" s="196" t="s">
        <v>222</v>
      </c>
      <c r="B82" s="197" t="s">
        <v>116</v>
      </c>
      <c r="C82" s="68" t="s">
        <v>172</v>
      </c>
      <c r="D82" s="198" t="s">
        <v>106</v>
      </c>
      <c r="E82" s="230"/>
      <c r="F82" s="211">
        <v>1</v>
      </c>
      <c r="G82" s="199" t="e">
        <f t="shared" si="7"/>
        <v>#VALUE!</v>
      </c>
      <c r="H82" s="134" t="e">
        <f t="shared" si="8"/>
        <v>#VALUE!</v>
      </c>
      <c r="J82" s="75"/>
    </row>
    <row r="83" spans="1:10" s="2" customFormat="1" ht="12.75">
      <c r="A83" s="196" t="s">
        <v>223</v>
      </c>
      <c r="B83" s="197">
        <v>3277</v>
      </c>
      <c r="C83" s="68" t="s">
        <v>235</v>
      </c>
      <c r="D83" s="198" t="s">
        <v>106</v>
      </c>
      <c r="E83" s="230"/>
      <c r="F83" s="211">
        <v>1</v>
      </c>
      <c r="G83" s="199" t="e">
        <f>ROUND((E83*$C$12)+E83,2)</f>
        <v>#VALUE!</v>
      </c>
      <c r="H83" s="134" t="e">
        <f>ROUND((G83*F83),2)</f>
        <v>#VALUE!</v>
      </c>
      <c r="J83" s="75"/>
    </row>
    <row r="84" spans="1:10" s="2" customFormat="1" ht="12.75">
      <c r="A84" s="196" t="s">
        <v>224</v>
      </c>
      <c r="B84" s="197">
        <v>11895</v>
      </c>
      <c r="C84" s="68" t="s">
        <v>234</v>
      </c>
      <c r="D84" s="198" t="s">
        <v>106</v>
      </c>
      <c r="E84" s="230"/>
      <c r="F84" s="211">
        <v>1</v>
      </c>
      <c r="G84" s="199" t="e">
        <f>ROUND((E84*$C$12)+E84,2)</f>
        <v>#VALUE!</v>
      </c>
      <c r="H84" s="134" t="e">
        <f>ROUND((G84*F84),2)</f>
        <v>#VALUE!</v>
      </c>
      <c r="J84" s="75"/>
    </row>
    <row r="85" spans="1:10" s="2" customFormat="1" ht="12.75">
      <c r="A85" s="224"/>
      <c r="B85" s="201"/>
      <c r="C85" s="74"/>
      <c r="D85" s="208"/>
      <c r="E85" s="209"/>
      <c r="F85" s="220"/>
      <c r="G85" s="209"/>
      <c r="H85" s="130"/>
      <c r="J85" s="75"/>
    </row>
    <row r="86" spans="1:10" ht="12.75">
      <c r="A86" s="182">
        <v>7</v>
      </c>
      <c r="B86" s="183"/>
      <c r="C86" s="184" t="s">
        <v>141</v>
      </c>
      <c r="D86" s="183"/>
      <c r="E86" s="185"/>
      <c r="F86" s="186"/>
      <c r="G86" s="187" t="s">
        <v>1</v>
      </c>
      <c r="H86" s="186" t="e">
        <f>SUM(H87:H102)</f>
        <v>#VALUE!</v>
      </c>
      <c r="J86" s="75"/>
    </row>
    <row r="87" spans="1:10" ht="12.75">
      <c r="A87" s="224"/>
      <c r="B87" s="189"/>
      <c r="C87" s="69"/>
      <c r="D87" s="214"/>
      <c r="E87" s="215"/>
      <c r="F87" s="210"/>
      <c r="G87" s="215"/>
      <c r="H87" s="221"/>
      <c r="J87" s="75"/>
    </row>
    <row r="88" spans="1:10" ht="16.5" customHeight="1">
      <c r="A88" s="196" t="s">
        <v>132</v>
      </c>
      <c r="B88" s="197">
        <v>97593</v>
      </c>
      <c r="C88" s="68" t="s">
        <v>233</v>
      </c>
      <c r="D88" s="198" t="s">
        <v>106</v>
      </c>
      <c r="E88" s="230"/>
      <c r="F88" s="199">
        <v>4</v>
      </c>
      <c r="G88" s="199" t="e">
        <f>ROUND((E88*$C$12)+E88,2)</f>
        <v>#VALUE!</v>
      </c>
      <c r="H88" s="134" t="e">
        <f>ROUND((G88*F88),2)</f>
        <v>#VALUE!</v>
      </c>
      <c r="J88" s="75"/>
    </row>
    <row r="89" spans="1:10" ht="22.5">
      <c r="A89" s="196" t="s">
        <v>133</v>
      </c>
      <c r="B89" s="197">
        <v>97586</v>
      </c>
      <c r="C89" s="68" t="s">
        <v>236</v>
      </c>
      <c r="D89" s="198" t="s">
        <v>106</v>
      </c>
      <c r="E89" s="230"/>
      <c r="F89" s="199">
        <v>2</v>
      </c>
      <c r="G89" s="199" t="e">
        <f>ROUND((E89*$C$12)+E89,2)</f>
        <v>#VALUE!</v>
      </c>
      <c r="H89" s="134" t="e">
        <f>ROUND((G89*F89),2)</f>
        <v>#VALUE!</v>
      </c>
      <c r="J89" s="75"/>
    </row>
    <row r="90" spans="1:10" s="77" customFormat="1" ht="27" customHeight="1">
      <c r="A90" s="196" t="s">
        <v>134</v>
      </c>
      <c r="B90" s="197">
        <v>91925</v>
      </c>
      <c r="C90" s="68" t="s">
        <v>164</v>
      </c>
      <c r="D90" s="198" t="s">
        <v>109</v>
      </c>
      <c r="E90" s="230"/>
      <c r="F90" s="199">
        <v>40</v>
      </c>
      <c r="G90" s="199" t="e">
        <f aca="true" t="shared" si="9" ref="G90:G101">ROUND((E90*$C$12)+E90,2)</f>
        <v>#VALUE!</v>
      </c>
      <c r="H90" s="134" t="e">
        <f aca="true" t="shared" si="10" ref="H90:H98">ROUND(G90*F90,2)</f>
        <v>#VALUE!</v>
      </c>
      <c r="J90" s="75"/>
    </row>
    <row r="91" spans="1:10" s="77" customFormat="1" ht="25.5" customHeight="1">
      <c r="A91" s="196" t="s">
        <v>135</v>
      </c>
      <c r="B91" s="197">
        <v>91927</v>
      </c>
      <c r="C91" s="68" t="s">
        <v>165</v>
      </c>
      <c r="D91" s="198" t="s">
        <v>109</v>
      </c>
      <c r="E91" s="230"/>
      <c r="F91" s="199">
        <v>20</v>
      </c>
      <c r="G91" s="199" t="e">
        <f t="shared" si="9"/>
        <v>#VALUE!</v>
      </c>
      <c r="H91" s="134" t="e">
        <f t="shared" si="10"/>
        <v>#VALUE!</v>
      </c>
      <c r="J91" s="75"/>
    </row>
    <row r="92" spans="1:10" s="77" customFormat="1" ht="26.25" customHeight="1">
      <c r="A92" s="196" t="s">
        <v>136</v>
      </c>
      <c r="B92" s="197">
        <v>91933</v>
      </c>
      <c r="C92" s="68" t="s">
        <v>166</v>
      </c>
      <c r="D92" s="198" t="s">
        <v>109</v>
      </c>
      <c r="E92" s="230"/>
      <c r="F92" s="199">
        <v>60</v>
      </c>
      <c r="G92" s="199" t="e">
        <f t="shared" si="9"/>
        <v>#VALUE!</v>
      </c>
      <c r="H92" s="134" t="e">
        <f t="shared" si="10"/>
        <v>#VALUE!</v>
      </c>
      <c r="J92" s="75"/>
    </row>
    <row r="93" spans="1:10" s="77" customFormat="1" ht="22.5">
      <c r="A93" s="196" t="s">
        <v>137</v>
      </c>
      <c r="B93" s="197">
        <v>91844</v>
      </c>
      <c r="C93" s="68" t="s">
        <v>195</v>
      </c>
      <c r="D93" s="198" t="s">
        <v>109</v>
      </c>
      <c r="E93" s="230"/>
      <c r="F93" s="199">
        <v>20</v>
      </c>
      <c r="G93" s="199" t="e">
        <f t="shared" si="9"/>
        <v>#VALUE!</v>
      </c>
      <c r="H93" s="134" t="e">
        <f t="shared" si="10"/>
        <v>#VALUE!</v>
      </c>
      <c r="J93" s="75"/>
    </row>
    <row r="94" spans="1:10" s="77" customFormat="1" ht="22.5">
      <c r="A94" s="196" t="s">
        <v>138</v>
      </c>
      <c r="B94" s="197">
        <v>1872</v>
      </c>
      <c r="C94" s="68" t="s">
        <v>183</v>
      </c>
      <c r="D94" s="198" t="s">
        <v>106</v>
      </c>
      <c r="E94" s="230"/>
      <c r="F94" s="199">
        <v>4</v>
      </c>
      <c r="G94" s="199" t="e">
        <f t="shared" si="9"/>
        <v>#VALUE!</v>
      </c>
      <c r="H94" s="134" t="e">
        <f t="shared" si="10"/>
        <v>#VALUE!</v>
      </c>
      <c r="J94" s="75"/>
    </row>
    <row r="95" spans="1:10" s="77" customFormat="1" ht="22.5">
      <c r="A95" s="196" t="s">
        <v>139</v>
      </c>
      <c r="B95" s="197">
        <v>91959</v>
      </c>
      <c r="C95" s="68" t="s">
        <v>170</v>
      </c>
      <c r="D95" s="198" t="s">
        <v>106</v>
      </c>
      <c r="E95" s="230"/>
      <c r="F95" s="199">
        <v>3</v>
      </c>
      <c r="G95" s="199" t="e">
        <f t="shared" si="9"/>
        <v>#VALUE!</v>
      </c>
      <c r="H95" s="134" t="e">
        <f t="shared" si="10"/>
        <v>#VALUE!</v>
      </c>
      <c r="J95" s="75"/>
    </row>
    <row r="96" spans="1:10" s="78" customFormat="1" ht="25.5" customHeight="1">
      <c r="A96" s="196" t="s">
        <v>225</v>
      </c>
      <c r="B96" s="197">
        <v>92003</v>
      </c>
      <c r="C96" s="68" t="s">
        <v>205</v>
      </c>
      <c r="D96" s="198" t="s">
        <v>106</v>
      </c>
      <c r="E96" s="230"/>
      <c r="F96" s="199">
        <v>6</v>
      </c>
      <c r="G96" s="199" t="e">
        <f t="shared" si="9"/>
        <v>#VALUE!</v>
      </c>
      <c r="H96" s="134" t="e">
        <f t="shared" si="10"/>
        <v>#VALUE!</v>
      </c>
      <c r="J96" s="75"/>
    </row>
    <row r="97" spans="1:10" s="78" customFormat="1" ht="25.5" customHeight="1">
      <c r="A97" s="196" t="s">
        <v>226</v>
      </c>
      <c r="B97" s="197">
        <v>91993</v>
      </c>
      <c r="C97" s="68" t="s">
        <v>171</v>
      </c>
      <c r="D97" s="198" t="s">
        <v>106</v>
      </c>
      <c r="E97" s="230"/>
      <c r="F97" s="199">
        <v>1</v>
      </c>
      <c r="G97" s="199" t="e">
        <f t="shared" si="9"/>
        <v>#VALUE!</v>
      </c>
      <c r="H97" s="134" t="e">
        <f t="shared" si="10"/>
        <v>#VALUE!</v>
      </c>
      <c r="J97" s="75"/>
    </row>
    <row r="98" spans="1:10" s="77" customFormat="1" ht="33.75">
      <c r="A98" s="196" t="s">
        <v>227</v>
      </c>
      <c r="B98" s="197">
        <v>84402</v>
      </c>
      <c r="C98" s="68" t="s">
        <v>167</v>
      </c>
      <c r="D98" s="198" t="s">
        <v>106</v>
      </c>
      <c r="E98" s="230"/>
      <c r="F98" s="199">
        <v>1</v>
      </c>
      <c r="G98" s="199" t="e">
        <f t="shared" si="9"/>
        <v>#VALUE!</v>
      </c>
      <c r="H98" s="134" t="e">
        <f t="shared" si="10"/>
        <v>#VALUE!</v>
      </c>
      <c r="J98" s="75"/>
    </row>
    <row r="99" spans="1:10" s="77" customFormat="1" ht="22.5">
      <c r="A99" s="196" t="s">
        <v>228</v>
      </c>
      <c r="B99" s="197">
        <v>93653</v>
      </c>
      <c r="C99" s="68" t="s">
        <v>168</v>
      </c>
      <c r="D99" s="198" t="s">
        <v>106</v>
      </c>
      <c r="E99" s="230"/>
      <c r="F99" s="199">
        <v>2</v>
      </c>
      <c r="G99" s="199" t="e">
        <f t="shared" si="9"/>
        <v>#VALUE!</v>
      </c>
      <c r="H99" s="134" t="e">
        <f>ROUND(G99*F99,2)</f>
        <v>#VALUE!</v>
      </c>
      <c r="J99" s="75"/>
    </row>
    <row r="100" spans="1:10" s="77" customFormat="1" ht="22.5">
      <c r="A100" s="196" t="s">
        <v>229</v>
      </c>
      <c r="B100" s="197">
        <v>93655</v>
      </c>
      <c r="C100" s="68" t="s">
        <v>169</v>
      </c>
      <c r="D100" s="198" t="s">
        <v>106</v>
      </c>
      <c r="E100" s="230"/>
      <c r="F100" s="199">
        <v>2</v>
      </c>
      <c r="G100" s="199" t="e">
        <f t="shared" si="9"/>
        <v>#VALUE!</v>
      </c>
      <c r="H100" s="134" t="e">
        <f>ROUND(G100*F100,2)</f>
        <v>#VALUE!</v>
      </c>
      <c r="J100" s="75"/>
    </row>
    <row r="101" spans="1:10" s="77" customFormat="1" ht="33.75">
      <c r="A101" s="196" t="s">
        <v>237</v>
      </c>
      <c r="B101" s="197">
        <v>38057</v>
      </c>
      <c r="C101" s="68" t="s">
        <v>184</v>
      </c>
      <c r="D101" s="198" t="s">
        <v>106</v>
      </c>
      <c r="E101" s="230"/>
      <c r="F101" s="199">
        <v>1</v>
      </c>
      <c r="G101" s="199" t="e">
        <f t="shared" si="9"/>
        <v>#VALUE!</v>
      </c>
      <c r="H101" s="134" t="e">
        <f>ROUND(G101*F101,2)</f>
        <v>#VALUE!</v>
      </c>
      <c r="J101" s="75"/>
    </row>
    <row r="102" spans="1:10" ht="12.75">
      <c r="A102" s="225"/>
      <c r="B102" s="201"/>
      <c r="C102" s="74"/>
      <c r="D102" s="208"/>
      <c r="E102" s="209"/>
      <c r="F102" s="215"/>
      <c r="G102" s="219"/>
      <c r="H102" s="130"/>
      <c r="J102" s="75"/>
    </row>
    <row r="103" spans="1:10" ht="12.75">
      <c r="A103" s="182">
        <v>8</v>
      </c>
      <c r="B103" s="183"/>
      <c r="C103" s="184" t="s">
        <v>159</v>
      </c>
      <c r="D103" s="183"/>
      <c r="E103" s="185"/>
      <c r="F103" s="186"/>
      <c r="G103" s="187" t="s">
        <v>1</v>
      </c>
      <c r="H103" s="186" t="e">
        <f>SUM(H104:H110)</f>
        <v>#VALUE!</v>
      </c>
      <c r="J103" s="75"/>
    </row>
    <row r="104" spans="1:10" ht="12.75">
      <c r="A104" s="207"/>
      <c r="B104" s="201"/>
      <c r="C104" s="70"/>
      <c r="D104" s="208"/>
      <c r="E104" s="209"/>
      <c r="F104" s="226"/>
      <c r="G104" s="219"/>
      <c r="H104" s="130"/>
      <c r="J104" s="75"/>
    </row>
    <row r="105" spans="1:10" ht="22.5">
      <c r="A105" s="196" t="s">
        <v>230</v>
      </c>
      <c r="B105" s="197">
        <v>88415</v>
      </c>
      <c r="C105" s="68" t="s">
        <v>150</v>
      </c>
      <c r="D105" s="198" t="s">
        <v>0</v>
      </c>
      <c r="E105" s="230"/>
      <c r="F105" s="211">
        <f>(18*2.8+3.5*2.2*2)-(0.9*2.1*3)-(0.5*0.5*2)-(1.35*1+2.2*1)-F52</f>
        <v>39.699999999999996</v>
      </c>
      <c r="G105" s="199" t="e">
        <f>ROUND((E105*$C$12)+E105,2)</f>
        <v>#VALUE!</v>
      </c>
      <c r="H105" s="134" t="e">
        <f>ROUND((G105*F105),2)</f>
        <v>#VALUE!</v>
      </c>
      <c r="J105" s="75"/>
    </row>
    <row r="106" spans="1:10" ht="22.5">
      <c r="A106" s="196" t="s">
        <v>231</v>
      </c>
      <c r="B106" s="197">
        <v>88417</v>
      </c>
      <c r="C106" s="68" t="s">
        <v>244</v>
      </c>
      <c r="D106" s="198" t="s">
        <v>0</v>
      </c>
      <c r="E106" s="230"/>
      <c r="F106" s="199">
        <f>F105</f>
        <v>39.699999999999996</v>
      </c>
      <c r="G106" s="199" t="e">
        <f>ROUND((E106*$C$12)+E106,2)</f>
        <v>#VALUE!</v>
      </c>
      <c r="H106" s="134" t="e">
        <f>ROUND((G106*F106),2)</f>
        <v>#VALUE!</v>
      </c>
      <c r="J106" s="75"/>
    </row>
    <row r="107" spans="1:10" ht="12.75">
      <c r="A107" s="196" t="s">
        <v>142</v>
      </c>
      <c r="B107" s="197">
        <v>6082</v>
      </c>
      <c r="C107" s="68" t="s">
        <v>180</v>
      </c>
      <c r="D107" s="227" t="s">
        <v>0</v>
      </c>
      <c r="E107" s="230"/>
      <c r="F107" s="199">
        <v>7</v>
      </c>
      <c r="G107" s="199" t="e">
        <f>ROUND((E107*$C$12)+E107,2)</f>
        <v>#VALUE!</v>
      </c>
      <c r="H107" s="134" t="e">
        <f>ROUND((G107*F107),2)</f>
        <v>#VALUE!</v>
      </c>
      <c r="J107" s="75"/>
    </row>
    <row r="108" spans="1:10" ht="12.75">
      <c r="A108" s="196" t="s">
        <v>232</v>
      </c>
      <c r="B108" s="197">
        <v>83693</v>
      </c>
      <c r="C108" s="68" t="s">
        <v>179</v>
      </c>
      <c r="D108" s="198" t="s">
        <v>0</v>
      </c>
      <c r="E108" s="230"/>
      <c r="F108" s="199">
        <f>15*0.5</f>
        <v>7.5</v>
      </c>
      <c r="G108" s="199" t="e">
        <f>ROUND((E108*$C$12)+E108,2)</f>
        <v>#VALUE!</v>
      </c>
      <c r="H108" s="134" t="e">
        <f>ROUND((G108*F108),2)</f>
        <v>#VALUE!</v>
      </c>
      <c r="J108" s="75"/>
    </row>
    <row r="109" spans="1:10" ht="12.75">
      <c r="A109" s="196" t="s">
        <v>243</v>
      </c>
      <c r="B109" s="197">
        <v>9537</v>
      </c>
      <c r="C109" s="68" t="s">
        <v>151</v>
      </c>
      <c r="D109" s="198" t="s">
        <v>0</v>
      </c>
      <c r="E109" s="230"/>
      <c r="F109" s="199">
        <f>F20</f>
        <v>20.25</v>
      </c>
      <c r="G109" s="199" t="e">
        <f>ROUND((E109*$C$12)+E109,2)</f>
        <v>#VALUE!</v>
      </c>
      <c r="H109" s="134" t="e">
        <f>ROUND((G109*F109),2)</f>
        <v>#VALUE!</v>
      </c>
      <c r="J109" s="75"/>
    </row>
    <row r="110" spans="1:8" ht="12.75">
      <c r="A110" s="117"/>
      <c r="B110" s="117"/>
      <c r="C110" s="117"/>
      <c r="D110" s="117"/>
      <c r="E110" s="117"/>
      <c r="F110" s="117"/>
      <c r="G110" s="117"/>
      <c r="H110" s="117"/>
    </row>
    <row r="111" spans="1:8" ht="12.75">
      <c r="A111" s="228" t="s">
        <v>54</v>
      </c>
      <c r="B111" s="228"/>
      <c r="C111" s="228"/>
      <c r="D111" s="228"/>
      <c r="E111" s="228"/>
      <c r="F111" s="228"/>
      <c r="G111" s="228"/>
      <c r="H111" s="186" t="e">
        <f>ROUND(H113/(1+C12),2)</f>
        <v>#VALUE!</v>
      </c>
    </row>
    <row r="112" spans="1:8" ht="12.75">
      <c r="A112" s="228" t="s">
        <v>57</v>
      </c>
      <c r="B112" s="228"/>
      <c r="C112" s="228"/>
      <c r="D112" s="228"/>
      <c r="E112" s="228"/>
      <c r="F112" s="228"/>
      <c r="G112" s="228"/>
      <c r="H112" s="186" t="e">
        <f>H113-H111</f>
        <v>#VALUE!</v>
      </c>
    </row>
    <row r="113" spans="1:8" ht="15">
      <c r="A113" s="228" t="s">
        <v>55</v>
      </c>
      <c r="B113" s="228"/>
      <c r="C113" s="228"/>
      <c r="D113" s="228"/>
      <c r="E113" s="228"/>
      <c r="F113" s="228"/>
      <c r="G113" s="228"/>
      <c r="H113" s="229" t="e">
        <f>H16+H34+H22+H45+H57+H71+H103+H86</f>
        <v>#VALUE!</v>
      </c>
    </row>
    <row r="114" spans="1:8" ht="12.75">
      <c r="A114" s="117"/>
      <c r="B114" s="117"/>
      <c r="C114" s="117"/>
      <c r="D114" s="117"/>
      <c r="E114" s="117"/>
      <c r="F114" s="117"/>
      <c r="G114" s="117"/>
      <c r="H114" s="117"/>
    </row>
    <row r="115" spans="1:8" ht="12.75">
      <c r="A115" s="117"/>
      <c r="B115" s="117"/>
      <c r="C115" s="117"/>
      <c r="D115" s="117"/>
      <c r="E115" s="117"/>
      <c r="F115" s="117"/>
      <c r="G115" s="117"/>
      <c r="H115" s="117"/>
    </row>
    <row r="116" spans="1:8" ht="12.75">
      <c r="A116" s="117"/>
      <c r="B116" s="117"/>
      <c r="C116" s="117"/>
      <c r="D116" s="117"/>
      <c r="E116" s="117"/>
      <c r="F116" s="117"/>
      <c r="G116" s="117"/>
      <c r="H116" s="117"/>
    </row>
    <row r="117" spans="1:8" ht="12.75">
      <c r="A117" s="117"/>
      <c r="B117" s="117"/>
      <c r="C117" s="117"/>
      <c r="D117" s="117"/>
      <c r="E117" s="117"/>
      <c r="F117" s="117"/>
      <c r="G117" s="117"/>
      <c r="H117" s="117"/>
    </row>
    <row r="118" spans="1:8" ht="12.75">
      <c r="A118" s="117"/>
      <c r="B118" s="117"/>
      <c r="C118" s="117"/>
      <c r="D118" s="117"/>
      <c r="E118" s="117"/>
      <c r="F118" s="117"/>
      <c r="G118" s="117"/>
      <c r="H118" s="117"/>
    </row>
    <row r="119" spans="1:8" ht="12.75">
      <c r="A119" s="117"/>
      <c r="B119" s="117"/>
      <c r="C119" s="117"/>
      <c r="D119" s="117"/>
      <c r="E119" s="117"/>
      <c r="F119" s="117"/>
      <c r="G119" s="117"/>
      <c r="H119" s="117"/>
    </row>
    <row r="120" spans="1:8" ht="12.75">
      <c r="A120" s="117"/>
      <c r="B120" s="117"/>
      <c r="C120" s="117"/>
      <c r="D120" s="117"/>
      <c r="E120" s="117"/>
      <c r="F120" s="117"/>
      <c r="G120" s="117"/>
      <c r="H120" s="117"/>
    </row>
    <row r="121" spans="1:8" ht="12.75">
      <c r="A121" s="117"/>
      <c r="B121" s="117"/>
      <c r="C121" s="117"/>
      <c r="D121" s="117"/>
      <c r="E121" s="117"/>
      <c r="F121" s="117"/>
      <c r="G121" s="117"/>
      <c r="H121" s="117"/>
    </row>
    <row r="122" spans="1:8" ht="12.75">
      <c r="A122" s="117"/>
      <c r="B122" s="117"/>
      <c r="C122" s="117"/>
      <c r="D122" s="117"/>
      <c r="E122" s="117"/>
      <c r="F122" s="117"/>
      <c r="G122" s="117"/>
      <c r="H122" s="117"/>
    </row>
    <row r="123" spans="1:8" ht="12.75">
      <c r="A123" s="117"/>
      <c r="B123" s="117"/>
      <c r="C123" s="117"/>
      <c r="D123" s="146" t="s">
        <v>90</v>
      </c>
      <c r="E123" s="147" t="str">
        <f>'P. BDI'!C40</f>
        <v>.</v>
      </c>
      <c r="F123" s="148"/>
      <c r="G123" s="117"/>
      <c r="H123" s="117"/>
    </row>
    <row r="124" spans="1:8" ht="12.75">
      <c r="A124" s="117"/>
      <c r="B124" s="117"/>
      <c r="C124" s="117"/>
      <c r="D124" s="149" t="s">
        <v>92</v>
      </c>
      <c r="E124" s="144" t="str">
        <f>'P. BDI'!C41</f>
        <v>.</v>
      </c>
      <c r="F124" s="117"/>
      <c r="G124" s="117"/>
      <c r="H124" s="117"/>
    </row>
    <row r="125" spans="1:8" ht="12.75">
      <c r="A125" s="117"/>
      <c r="B125" s="117"/>
      <c r="C125" s="117"/>
      <c r="D125" s="150"/>
      <c r="E125" s="59"/>
      <c r="F125" s="117"/>
      <c r="G125" s="117"/>
      <c r="H125" s="117"/>
    </row>
    <row r="126" spans="1:8" ht="12.75">
      <c r="A126" s="117"/>
      <c r="B126" s="117"/>
      <c r="C126" s="117"/>
      <c r="D126" s="117"/>
      <c r="E126" s="117"/>
      <c r="F126" s="117"/>
      <c r="G126" s="117"/>
      <c r="H126" s="117"/>
    </row>
    <row r="127" spans="1:8" ht="12.75">
      <c r="A127" s="117"/>
      <c r="B127" s="117"/>
      <c r="C127" s="117"/>
      <c r="D127" s="117"/>
      <c r="E127" s="117"/>
      <c r="F127" s="117"/>
      <c r="G127" s="117"/>
      <c r="H127" s="117"/>
    </row>
    <row r="128" spans="1:8" ht="12.75">
      <c r="A128" s="117"/>
      <c r="B128" s="117"/>
      <c r="C128" s="117"/>
      <c r="D128" s="117"/>
      <c r="E128" s="117"/>
      <c r="F128" s="117"/>
      <c r="G128" s="117"/>
      <c r="H128" s="117"/>
    </row>
    <row r="129" spans="1:8" ht="12.75">
      <c r="A129" s="117"/>
      <c r="B129" s="117"/>
      <c r="C129" s="117"/>
      <c r="D129" s="117"/>
      <c r="E129" s="117"/>
      <c r="F129" s="117"/>
      <c r="G129" s="117"/>
      <c r="H129" s="117"/>
    </row>
    <row r="130" spans="1:8" ht="12.75">
      <c r="A130" s="117"/>
      <c r="B130" s="117"/>
      <c r="C130" s="117"/>
      <c r="D130" s="150"/>
      <c r="E130" s="59"/>
      <c r="F130" s="117"/>
      <c r="G130" s="117"/>
      <c r="H130" s="117"/>
    </row>
    <row r="131" spans="1:8" ht="12.75">
      <c r="A131" s="117"/>
      <c r="B131" s="117"/>
      <c r="C131" s="117"/>
      <c r="D131" s="56"/>
      <c r="E131" s="145"/>
      <c r="F131" s="117"/>
      <c r="G131" s="117"/>
      <c r="H131" s="117"/>
    </row>
    <row r="132" spans="1:8" ht="12.75">
      <c r="A132" s="117"/>
      <c r="B132" s="117"/>
      <c r="C132" s="117"/>
      <c r="D132" s="117"/>
      <c r="E132" s="117"/>
      <c r="F132" s="117"/>
      <c r="G132" s="117"/>
      <c r="H132" s="117"/>
    </row>
    <row r="133" spans="1:8" ht="12.75">
      <c r="A133" s="117"/>
      <c r="B133" s="117"/>
      <c r="C133" s="117"/>
      <c r="D133" s="145"/>
      <c r="E133" s="145"/>
      <c r="F133" s="117"/>
      <c r="G133" s="117"/>
      <c r="H133" s="117"/>
    </row>
    <row r="134" spans="1:8" ht="12.75">
      <c r="A134" s="117"/>
      <c r="B134" s="117"/>
      <c r="C134" s="117"/>
      <c r="D134" s="146" t="s">
        <v>91</v>
      </c>
      <c r="E134" s="147" t="str">
        <f>'P. BDI'!C48</f>
        <v>.</v>
      </c>
      <c r="F134" s="148"/>
      <c r="G134" s="117"/>
      <c r="H134" s="117"/>
    </row>
    <row r="135" spans="1:8" ht="12.75">
      <c r="A135" s="117"/>
      <c r="B135" s="117"/>
      <c r="C135" s="117"/>
      <c r="D135" s="149" t="s">
        <v>38</v>
      </c>
      <c r="E135" s="144" t="str">
        <f>'P. BDI'!C49</f>
        <v>cpf:</v>
      </c>
      <c r="F135" s="117"/>
      <c r="G135" s="117"/>
      <c r="H135" s="117"/>
    </row>
    <row r="136" spans="1:8" ht="12.75">
      <c r="A136" s="117"/>
      <c r="B136" s="117"/>
      <c r="C136" s="117"/>
      <c r="D136" s="117"/>
      <c r="E136" s="117"/>
      <c r="F136" s="117"/>
      <c r="G136" s="117"/>
      <c r="H136" s="117"/>
    </row>
  </sheetData>
  <sheetProtection password="C6F7" sheet="1" selectLockedCells="1"/>
  <mergeCells count="16">
    <mergeCell ref="A113:G113"/>
    <mergeCell ref="A10:B10"/>
    <mergeCell ref="A11:B11"/>
    <mergeCell ref="A2:H3"/>
    <mergeCell ref="A5:B5"/>
    <mergeCell ref="A6:B6"/>
    <mergeCell ref="A7:B7"/>
    <mergeCell ref="A8:B8"/>
    <mergeCell ref="A9:B9"/>
    <mergeCell ref="A111:G111"/>
    <mergeCell ref="D5:E5"/>
    <mergeCell ref="D6:E6"/>
    <mergeCell ref="F5:G5"/>
    <mergeCell ref="F6:G6"/>
    <mergeCell ref="A12:B12"/>
    <mergeCell ref="A112:G112"/>
  </mergeCells>
  <conditionalFormatting sqref="C56 C29:C30 C43:C44 C85 C102 C70 C32:C33 C73:C75 C65">
    <cfRule type="expression" priority="4542" dxfId="109" stopIfTrue="1">
      <formula>$J29=1</formula>
    </cfRule>
    <cfRule type="expression" priority="4543" dxfId="110" stopIfTrue="1">
      <formula>$K29=2</formula>
    </cfRule>
    <cfRule type="expression" priority="4544" dxfId="111" stopIfTrue="1">
      <formula>$K29=3</formula>
    </cfRule>
  </conditionalFormatting>
  <conditionalFormatting sqref="C104">
    <cfRule type="expression" priority="352" dxfId="109" stopIfTrue="1">
      <formula>$J104=1</formula>
    </cfRule>
    <cfRule type="expression" priority="353" dxfId="110" stopIfTrue="1">
      <formula>$K104=2</formula>
    </cfRule>
    <cfRule type="expression" priority="354" dxfId="111" stopIfTrue="1">
      <formula>$K104=3</formula>
    </cfRule>
  </conditionalFormatting>
  <conditionalFormatting sqref="C18">
    <cfRule type="expression" priority="298" dxfId="109" stopIfTrue="1">
      <formula>$J18=1</formula>
    </cfRule>
    <cfRule type="expression" priority="299" dxfId="110" stopIfTrue="1">
      <formula>$K18=2</formula>
    </cfRule>
    <cfRule type="expression" priority="300" dxfId="111" stopIfTrue="1">
      <formula>$K18=3</formula>
    </cfRule>
  </conditionalFormatting>
  <conditionalFormatting sqref="C31">
    <cfRule type="expression" priority="253" dxfId="109" stopIfTrue="1">
      <formula>$J31=1</formula>
    </cfRule>
    <cfRule type="expression" priority="254" dxfId="110" stopIfTrue="1">
      <formula>$K31=2</formula>
    </cfRule>
    <cfRule type="expression" priority="255" dxfId="111" stopIfTrue="1">
      <formula>$K31=3</formula>
    </cfRule>
  </conditionalFormatting>
  <conditionalFormatting sqref="C23:C25 C27:C28">
    <cfRule type="expression" priority="220" dxfId="109" stopIfTrue="1">
      <formula>$J23=1</formula>
    </cfRule>
    <cfRule type="expression" priority="221" dxfId="110" stopIfTrue="1">
      <formula>$K23=2</formula>
    </cfRule>
    <cfRule type="expression" priority="222" dxfId="111" stopIfTrue="1">
      <formula>$K23=3</formula>
    </cfRule>
  </conditionalFormatting>
  <conditionalFormatting sqref="C46">
    <cfRule type="expression" priority="211" dxfId="109" stopIfTrue="1">
      <formula>$J46=1</formula>
    </cfRule>
    <cfRule type="expression" priority="212" dxfId="110" stopIfTrue="1">
      <formula>$K46=2</formula>
    </cfRule>
    <cfRule type="expression" priority="213" dxfId="111" stopIfTrue="1">
      <formula>$K46=3</formula>
    </cfRule>
  </conditionalFormatting>
  <conditionalFormatting sqref="C21">
    <cfRule type="expression" priority="175" dxfId="109" stopIfTrue="1">
      <formula>$J21=1</formula>
    </cfRule>
    <cfRule type="expression" priority="176" dxfId="110" stopIfTrue="1">
      <formula>$K21=2</formula>
    </cfRule>
    <cfRule type="expression" priority="177" dxfId="111" stopIfTrue="1">
      <formula>$K21=3</formula>
    </cfRule>
  </conditionalFormatting>
  <conditionalFormatting sqref="C58">
    <cfRule type="expression" priority="82" dxfId="109" stopIfTrue="1">
      <formula>$J58=1</formula>
    </cfRule>
    <cfRule type="expression" priority="83" dxfId="110" stopIfTrue="1">
      <formula>$K58=2</formula>
    </cfRule>
    <cfRule type="expression" priority="84" dxfId="111" stopIfTrue="1">
      <formula>$K58=3</formula>
    </cfRule>
  </conditionalFormatting>
  <conditionalFormatting sqref="C87">
    <cfRule type="expression" priority="79" dxfId="109" stopIfTrue="1">
      <formula>$J87=1</formula>
    </cfRule>
    <cfRule type="expression" priority="80" dxfId="110" stopIfTrue="1">
      <formula>$K87=2</formula>
    </cfRule>
    <cfRule type="expression" priority="81" dxfId="111" stopIfTrue="1">
      <formula>$K87=3</formula>
    </cfRule>
  </conditionalFormatting>
  <conditionalFormatting sqref="C47:C55">
    <cfRule type="expression" priority="67" dxfId="109" stopIfTrue="1">
      <formula>$J47=1</formula>
    </cfRule>
    <cfRule type="expression" priority="68" dxfId="110" stopIfTrue="1">
      <formula>$K47=2</formula>
    </cfRule>
    <cfRule type="expression" priority="69" dxfId="111" stopIfTrue="1">
      <formula>$K47=3</formula>
    </cfRule>
  </conditionalFormatting>
  <conditionalFormatting sqref="C19:C20">
    <cfRule type="expression" priority="73" dxfId="109" stopIfTrue="1">
      <formula>$J19=1</formula>
    </cfRule>
    <cfRule type="expression" priority="74" dxfId="110" stopIfTrue="1">
      <formula>$K19=2</formula>
    </cfRule>
    <cfRule type="expression" priority="75" dxfId="111" stopIfTrue="1">
      <formula>$K19=3</formula>
    </cfRule>
  </conditionalFormatting>
  <conditionalFormatting sqref="C36:C42">
    <cfRule type="expression" priority="70" dxfId="109" stopIfTrue="1">
      <formula>$J36=1</formula>
    </cfRule>
    <cfRule type="expression" priority="71" dxfId="110" stopIfTrue="1">
      <formula>$K36=2</formula>
    </cfRule>
    <cfRule type="expression" priority="72" dxfId="111" stopIfTrue="1">
      <formula>$K36=3</formula>
    </cfRule>
  </conditionalFormatting>
  <conditionalFormatting sqref="C59:C64">
    <cfRule type="expression" priority="64" dxfId="109" stopIfTrue="1">
      <formula>$J59=1</formula>
    </cfRule>
    <cfRule type="expression" priority="65" dxfId="110" stopIfTrue="1">
      <formula>$K59=2</formula>
    </cfRule>
    <cfRule type="expression" priority="66" dxfId="111" stopIfTrue="1">
      <formula>$K59=3</formula>
    </cfRule>
  </conditionalFormatting>
  <conditionalFormatting sqref="C77:C84">
    <cfRule type="expression" priority="61" dxfId="109" stopIfTrue="1">
      <formula>$J77=1</formula>
    </cfRule>
    <cfRule type="expression" priority="62" dxfId="110" stopIfTrue="1">
      <formula>$K77=2</formula>
    </cfRule>
    <cfRule type="expression" priority="63" dxfId="111" stopIfTrue="1">
      <formula>$K77=3</formula>
    </cfRule>
  </conditionalFormatting>
  <conditionalFormatting sqref="C88 C90:C101">
    <cfRule type="expression" priority="58" dxfId="109" stopIfTrue="1">
      <formula>$J88=1</formula>
    </cfRule>
    <cfRule type="expression" priority="59" dxfId="110" stopIfTrue="1">
      <formula>$K88=2</formula>
    </cfRule>
    <cfRule type="expression" priority="60" dxfId="111" stopIfTrue="1">
      <formula>$K88=3</formula>
    </cfRule>
  </conditionalFormatting>
  <conditionalFormatting sqref="C105:C106 C108:C109">
    <cfRule type="expression" priority="55" dxfId="109" stopIfTrue="1">
      <formula>$J105=1</formula>
    </cfRule>
    <cfRule type="expression" priority="56" dxfId="110" stopIfTrue="1">
      <formula>$K105=2</formula>
    </cfRule>
    <cfRule type="expression" priority="57" dxfId="111" stopIfTrue="1">
      <formula>$K105=3</formula>
    </cfRule>
  </conditionalFormatting>
  <conditionalFormatting sqref="C89">
    <cfRule type="expression" priority="46" dxfId="109" stopIfTrue="1">
      <formula>$J89=1</formula>
    </cfRule>
    <cfRule type="expression" priority="47" dxfId="110" stopIfTrue="1">
      <formula>$K89=2</formula>
    </cfRule>
    <cfRule type="expression" priority="48" dxfId="111" stopIfTrue="1">
      <formula>$K89=3</formula>
    </cfRule>
  </conditionalFormatting>
  <conditionalFormatting sqref="C76">
    <cfRule type="expression" priority="43" dxfId="109" stopIfTrue="1">
      <formula>$J76=1</formula>
    </cfRule>
    <cfRule type="expression" priority="44" dxfId="110" stopIfTrue="1">
      <formula>$K76=2</formula>
    </cfRule>
    <cfRule type="expression" priority="45" dxfId="111" stopIfTrue="1">
      <formula>$K76=3</formula>
    </cfRule>
  </conditionalFormatting>
  <conditionalFormatting sqref="C26">
    <cfRule type="expression" priority="37" dxfId="109" stopIfTrue="1">
      <formula>$J26=1</formula>
    </cfRule>
    <cfRule type="expression" priority="38" dxfId="110" stopIfTrue="1">
      <formula>$K26=2</formula>
    </cfRule>
    <cfRule type="expression" priority="39" dxfId="111" stopIfTrue="1">
      <formula>$K26=3</formula>
    </cfRule>
  </conditionalFormatting>
  <conditionalFormatting sqref="C107">
    <cfRule type="expression" priority="31" dxfId="109" stopIfTrue="1">
      <formula>$J107=1</formula>
    </cfRule>
    <cfRule type="expression" priority="32" dxfId="110" stopIfTrue="1">
      <formula>$K107=2</formula>
    </cfRule>
    <cfRule type="expression" priority="33" dxfId="111" stopIfTrue="1">
      <formula>$K107=3</formula>
    </cfRule>
  </conditionalFormatting>
  <conditionalFormatting sqref="C68">
    <cfRule type="expression" priority="7" dxfId="109" stopIfTrue="1">
      <formula>$J68=1</formula>
    </cfRule>
    <cfRule type="expression" priority="8" dxfId="110" stopIfTrue="1">
      <formula>$K68=2</formula>
    </cfRule>
    <cfRule type="expression" priority="9" dxfId="111" stopIfTrue="1">
      <formula>$K68=3</formula>
    </cfRule>
  </conditionalFormatting>
  <conditionalFormatting sqref="C66">
    <cfRule type="expression" priority="19" dxfId="109" stopIfTrue="1">
      <formula>$J66=1</formula>
    </cfRule>
    <cfRule type="expression" priority="20" dxfId="110" stopIfTrue="1">
      <formula>$K66=2</formula>
    </cfRule>
    <cfRule type="expression" priority="21" dxfId="111" stopIfTrue="1">
      <formula>$K66=3</formula>
    </cfRule>
  </conditionalFormatting>
  <conditionalFormatting sqref="C67">
    <cfRule type="expression" priority="13" dxfId="109" stopIfTrue="1">
      <formula>$J67=1</formula>
    </cfRule>
    <cfRule type="expression" priority="14" dxfId="110" stopIfTrue="1">
      <formula>$K67=2</formula>
    </cfRule>
    <cfRule type="expression" priority="15" dxfId="111" stopIfTrue="1">
      <formula>$K67=3</formula>
    </cfRule>
  </conditionalFormatting>
  <conditionalFormatting sqref="C69">
    <cfRule type="expression" priority="1" dxfId="109" stopIfTrue="1">
      <formula>$J69=1</formula>
    </cfRule>
    <cfRule type="expression" priority="2" dxfId="110" stopIfTrue="1">
      <formula>$K69=2</formula>
    </cfRule>
    <cfRule type="expression" priority="3" dxfId="111" stopIfTrue="1">
      <formula>$K69=3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8" r:id="rId3"/>
  <rowBreaks count="2" manualBreakCount="2">
    <brk id="56" max="7" man="1"/>
    <brk id="10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zoomScalePageLayoutView="0" workbookViewId="0" topLeftCell="A1">
      <selection activeCell="F34" sqref="F3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13" width="11.7109375" style="0" customWidth="1"/>
    <col min="14" max="14" width="10.7109375" style="0" customWidth="1"/>
  </cols>
  <sheetData>
    <row r="1" ht="37.5" customHeight="1">
      <c r="A1" s="27" t="s">
        <v>42</v>
      </c>
    </row>
    <row r="2" spans="1:14" ht="12.75" customHeight="1">
      <c r="A2" s="111" t="s">
        <v>89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2.75" customHeight="1">
      <c r="A4" s="112"/>
      <c r="B4" s="112"/>
      <c r="C4" s="112"/>
      <c r="D4" s="112"/>
      <c r="E4" s="112"/>
      <c r="F4" s="112"/>
      <c r="G4" s="112"/>
      <c r="H4" s="112"/>
      <c r="I4" s="117"/>
      <c r="J4" s="117"/>
      <c r="K4" s="117"/>
      <c r="L4" s="117"/>
      <c r="M4" s="117"/>
      <c r="N4" s="117"/>
    </row>
    <row r="5" spans="1:14" ht="15.75" customHeight="1">
      <c r="A5" s="113" t="str">
        <f>'P. BDI'!B3</f>
        <v>Edital :</v>
      </c>
      <c r="B5" s="113"/>
      <c r="C5" s="114" t="str">
        <f>'P. BDI'!C3:F3</f>
        <v>TP -preencher</v>
      </c>
      <c r="D5" s="151" t="s">
        <v>255</v>
      </c>
      <c r="E5" s="151"/>
      <c r="F5" s="152">
        <f>Orçamento!F5</f>
        <v>20.25</v>
      </c>
      <c r="G5" s="153"/>
      <c r="H5" s="117"/>
      <c r="I5" s="117"/>
      <c r="J5" s="117"/>
      <c r="K5" s="117"/>
      <c r="L5" s="117"/>
      <c r="M5" s="117"/>
      <c r="N5" s="117"/>
    </row>
    <row r="6" spans="1:14" ht="12.75">
      <c r="A6" s="113" t="str">
        <f>'P. BDI'!B4</f>
        <v>Tomador: </v>
      </c>
      <c r="B6" s="113"/>
      <c r="C6" s="114" t="str">
        <f>'P. BDI'!C4:F4</f>
        <v>Prefeitura Municipal de Dois Vizinhos - PR</v>
      </c>
      <c r="D6" s="113" t="s">
        <v>73</v>
      </c>
      <c r="E6" s="113"/>
      <c r="F6" s="154" t="e">
        <f>Orçamento!H113</f>
        <v>#VALUE!</v>
      </c>
      <c r="G6" s="155"/>
      <c r="H6" s="117"/>
      <c r="I6" s="117"/>
      <c r="J6" s="117"/>
      <c r="K6" s="117"/>
      <c r="L6" s="117"/>
      <c r="M6" s="117"/>
      <c r="N6" s="117"/>
    </row>
    <row r="7" spans="1:14" ht="12.75">
      <c r="A7" s="113" t="str">
        <f>'P. BDI'!B5</f>
        <v>Empreendimento: </v>
      </c>
      <c r="B7" s="113"/>
      <c r="C7" s="114" t="str">
        <f>'P. BDI'!C5:F5</f>
        <v>CONSTRUÇÃO LANCHONETE PRAÇA ARI MULLER</v>
      </c>
      <c r="D7" s="113" t="s">
        <v>56</v>
      </c>
      <c r="E7" s="113"/>
      <c r="F7" s="154" t="e">
        <f>F6/F5</f>
        <v>#VALUE!</v>
      </c>
      <c r="G7" s="155"/>
      <c r="H7" s="116"/>
      <c r="I7" s="117"/>
      <c r="J7" s="117"/>
      <c r="K7" s="117"/>
      <c r="L7" s="117"/>
      <c r="M7" s="117"/>
      <c r="N7" s="117"/>
    </row>
    <row r="8" spans="1:14" ht="12.75">
      <c r="A8" s="113" t="str">
        <f>'P. BDI'!B6</f>
        <v>Local da Obra:</v>
      </c>
      <c r="B8" s="113"/>
      <c r="C8" s="114" t="str">
        <f>'P. BDI'!C6:F6</f>
        <v>PRAÇA ARI MULLER - RUA GUILHERME A. GIORDANI</v>
      </c>
      <c r="D8" s="115"/>
      <c r="E8" s="116"/>
      <c r="F8" s="116"/>
      <c r="G8" s="116"/>
      <c r="H8" s="116"/>
      <c r="I8" s="117"/>
      <c r="J8" s="117"/>
      <c r="K8" s="117"/>
      <c r="L8" s="117"/>
      <c r="M8" s="117"/>
      <c r="N8" s="117"/>
    </row>
    <row r="9" spans="1:14" ht="12.75">
      <c r="A9" s="113" t="str">
        <f>'P. BDI'!B7</f>
        <v>Empresa Prop.:</v>
      </c>
      <c r="B9" s="113"/>
      <c r="C9" s="114" t="str">
        <f>'P. BDI'!C7:F7</f>
        <v>preencher</v>
      </c>
      <c r="D9" s="115"/>
      <c r="E9" s="116"/>
      <c r="F9" s="116"/>
      <c r="G9" s="116"/>
      <c r="H9" s="116"/>
      <c r="I9" s="117"/>
      <c r="J9" s="117"/>
      <c r="K9" s="117"/>
      <c r="L9" s="117"/>
      <c r="M9" s="117"/>
      <c r="N9" s="117"/>
    </row>
    <row r="10" spans="1:14" ht="12.75">
      <c r="A10" s="113" t="str">
        <f>'P. BDI'!B8</f>
        <v>CNPJ:</v>
      </c>
      <c r="B10" s="113"/>
      <c r="C10" s="114" t="str">
        <f>'P. BDI'!C8:F8</f>
        <v>preencher</v>
      </c>
      <c r="D10" s="115"/>
      <c r="E10" s="116"/>
      <c r="F10" s="116"/>
      <c r="G10" s="116"/>
      <c r="H10" s="116"/>
      <c r="I10" s="117"/>
      <c r="J10" s="117"/>
      <c r="K10" s="117"/>
      <c r="L10" s="117"/>
      <c r="M10" s="117"/>
      <c r="N10" s="117"/>
    </row>
    <row r="11" spans="1:14" ht="12.75">
      <c r="A11" s="113" t="str">
        <f>'P. BDI'!B9</f>
        <v>Data Base:</v>
      </c>
      <c r="B11" s="113"/>
      <c r="C11" s="120" t="str">
        <f>'P. BDI'!C9:F9</f>
        <v>preencher</v>
      </c>
      <c r="D11" s="115"/>
      <c r="E11" s="115"/>
      <c r="F11" s="118"/>
      <c r="G11" s="119"/>
      <c r="H11" s="119"/>
      <c r="I11" s="117"/>
      <c r="J11" s="117"/>
      <c r="K11" s="117"/>
      <c r="L11" s="117"/>
      <c r="M11" s="117"/>
      <c r="N11" s="117"/>
    </row>
    <row r="12" spans="1:14" ht="12.75">
      <c r="A12" s="113" t="str">
        <f>Orçamento!A12</f>
        <v>BDI:</v>
      </c>
      <c r="B12" s="113"/>
      <c r="C12" s="121" t="e">
        <f>Orçamento!C12</f>
        <v>#VALUE!</v>
      </c>
      <c r="D12" s="115"/>
      <c r="E12" s="115"/>
      <c r="F12" s="118"/>
      <c r="G12" s="119"/>
      <c r="H12" s="119"/>
      <c r="I12" s="117"/>
      <c r="J12" s="117"/>
      <c r="K12" s="117"/>
      <c r="L12" s="117"/>
      <c r="M12" s="117"/>
      <c r="N12" s="117"/>
    </row>
    <row r="13" spans="1:14" ht="12.75">
      <c r="A13" s="122"/>
      <c r="B13" s="123"/>
      <c r="C13" s="124"/>
      <c r="D13" s="116"/>
      <c r="E13" s="116"/>
      <c r="F13" s="116"/>
      <c r="G13" s="116"/>
      <c r="H13" s="116"/>
      <c r="I13" s="117"/>
      <c r="J13" s="117"/>
      <c r="K13" s="117"/>
      <c r="L13" s="117"/>
      <c r="M13" s="117"/>
      <c r="N13" s="117"/>
    </row>
    <row r="14" spans="1:14" ht="12.7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ht="12.75">
      <c r="A15" s="117"/>
      <c r="B15" s="125" t="s">
        <v>48</v>
      </c>
      <c r="C15" s="126" t="s">
        <v>72</v>
      </c>
      <c r="D15" s="126"/>
      <c r="E15" s="126" t="s">
        <v>78</v>
      </c>
      <c r="F15" s="126"/>
      <c r="G15" s="125" t="s">
        <v>79</v>
      </c>
      <c r="H15" s="125" t="s">
        <v>80</v>
      </c>
      <c r="I15" s="125" t="s">
        <v>81</v>
      </c>
      <c r="J15" s="125" t="s">
        <v>82</v>
      </c>
      <c r="K15" s="125" t="s">
        <v>83</v>
      </c>
      <c r="L15" s="125" t="s">
        <v>84</v>
      </c>
      <c r="M15" s="125" t="s">
        <v>85</v>
      </c>
      <c r="N15" s="125" t="s">
        <v>86</v>
      </c>
    </row>
    <row r="16" spans="1:14" ht="12.75">
      <c r="A16" s="117"/>
      <c r="B16" s="156">
        <f>QCI!B26</f>
        <v>1</v>
      </c>
      <c r="C16" s="109" t="str">
        <f>QCI!C26</f>
        <v>SERVIÇOS PRELIMINARES</v>
      </c>
      <c r="D16" s="109"/>
      <c r="E16" s="129" t="e">
        <f>QCI!F26</f>
        <v>#VALUE!</v>
      </c>
      <c r="F16" s="129"/>
      <c r="G16" s="157">
        <v>1</v>
      </c>
      <c r="H16" s="157"/>
      <c r="I16" s="157"/>
      <c r="J16" s="157"/>
      <c r="K16" s="157"/>
      <c r="L16" s="157"/>
      <c r="M16" s="157"/>
      <c r="N16" s="158">
        <f aca="true" t="shared" si="0" ref="N16:N27">SUM(G16:M16)</f>
        <v>1</v>
      </c>
    </row>
    <row r="17" spans="1:14" ht="12.75">
      <c r="A17" s="117"/>
      <c r="B17" s="156">
        <f>QCI!B27</f>
        <v>2</v>
      </c>
      <c r="C17" s="109" t="str">
        <f>QCI!C27</f>
        <v>ESTRUTURA</v>
      </c>
      <c r="D17" s="109"/>
      <c r="E17" s="129" t="e">
        <f>QCI!F27</f>
        <v>#VALUE!</v>
      </c>
      <c r="F17" s="129"/>
      <c r="G17" s="157">
        <v>0.8</v>
      </c>
      <c r="H17" s="157">
        <v>0.2</v>
      </c>
      <c r="I17" s="157"/>
      <c r="J17" s="157"/>
      <c r="K17" s="157"/>
      <c r="L17" s="157"/>
      <c r="M17" s="157"/>
      <c r="N17" s="158">
        <f t="shared" si="0"/>
        <v>1</v>
      </c>
    </row>
    <row r="18" spans="1:14" ht="12.75">
      <c r="A18" s="117"/>
      <c r="B18" s="156">
        <f>QCI!B28</f>
        <v>3</v>
      </c>
      <c r="C18" s="109" t="str">
        <f>QCI!C28</f>
        <v>COBERTURA</v>
      </c>
      <c r="D18" s="109"/>
      <c r="E18" s="129" t="e">
        <f>QCI!F28</f>
        <v>#VALUE!</v>
      </c>
      <c r="F18" s="129"/>
      <c r="G18" s="159">
        <v>0.2</v>
      </c>
      <c r="H18" s="157">
        <v>0.8</v>
      </c>
      <c r="I18" s="157"/>
      <c r="J18" s="157"/>
      <c r="K18" s="157"/>
      <c r="L18" s="157"/>
      <c r="M18" s="157"/>
      <c r="N18" s="160">
        <f t="shared" si="0"/>
        <v>1</v>
      </c>
    </row>
    <row r="19" spans="1:14" ht="12.75">
      <c r="A19" s="117"/>
      <c r="B19" s="156">
        <f>QCI!B29</f>
        <v>4</v>
      </c>
      <c r="C19" s="109" t="str">
        <f>QCI!C29</f>
        <v>PISO E REVESTIMENTOS</v>
      </c>
      <c r="D19" s="109"/>
      <c r="E19" s="129" t="e">
        <f>QCI!F29</f>
        <v>#VALUE!</v>
      </c>
      <c r="F19" s="129"/>
      <c r="G19" s="159">
        <v>0.2</v>
      </c>
      <c r="H19" s="157">
        <v>0.8</v>
      </c>
      <c r="I19" s="157"/>
      <c r="J19" s="159"/>
      <c r="K19" s="159"/>
      <c r="L19" s="159"/>
      <c r="M19" s="159"/>
      <c r="N19" s="160">
        <f t="shared" si="0"/>
        <v>1</v>
      </c>
    </row>
    <row r="20" spans="1:14" ht="12.75">
      <c r="A20" s="117"/>
      <c r="B20" s="156">
        <f>QCI!B30</f>
        <v>5</v>
      </c>
      <c r="C20" s="109" t="str">
        <f>QCI!C30</f>
        <v>ESQUADRIAS / ACESSORIOS</v>
      </c>
      <c r="D20" s="109"/>
      <c r="E20" s="129" t="e">
        <f>QCI!F30</f>
        <v>#VALUE!</v>
      </c>
      <c r="F20" s="129"/>
      <c r="G20" s="159"/>
      <c r="H20" s="159"/>
      <c r="I20" s="159">
        <v>1</v>
      </c>
      <c r="J20" s="159"/>
      <c r="K20" s="159"/>
      <c r="L20" s="159"/>
      <c r="M20" s="159"/>
      <c r="N20" s="160">
        <f t="shared" si="0"/>
        <v>1</v>
      </c>
    </row>
    <row r="21" spans="1:14" ht="12.75">
      <c r="A21" s="117"/>
      <c r="B21" s="156">
        <f>QCI!B31</f>
        <v>6</v>
      </c>
      <c r="C21" s="109" t="str">
        <f>QCI!C31</f>
        <v>HIDRAULICA</v>
      </c>
      <c r="D21" s="109"/>
      <c r="E21" s="129" t="e">
        <f>QCI!F31</f>
        <v>#VALUE!</v>
      </c>
      <c r="F21" s="129"/>
      <c r="G21" s="159">
        <v>0.25</v>
      </c>
      <c r="H21" s="159">
        <v>0.25</v>
      </c>
      <c r="I21" s="159">
        <v>0.5</v>
      </c>
      <c r="J21" s="159"/>
      <c r="K21" s="159"/>
      <c r="L21" s="159"/>
      <c r="M21" s="159"/>
      <c r="N21" s="160">
        <f t="shared" si="0"/>
        <v>1</v>
      </c>
    </row>
    <row r="22" spans="1:14" ht="12.75">
      <c r="A22" s="117"/>
      <c r="B22" s="156">
        <f>QCI!B32</f>
        <v>7</v>
      </c>
      <c r="C22" s="109" t="str">
        <f>QCI!C32</f>
        <v>ELÉTRICA</v>
      </c>
      <c r="D22" s="109"/>
      <c r="E22" s="129" t="e">
        <f>QCI!F32</f>
        <v>#VALUE!</v>
      </c>
      <c r="F22" s="129"/>
      <c r="G22" s="159">
        <v>0.1</v>
      </c>
      <c r="H22" s="159">
        <v>0.4</v>
      </c>
      <c r="I22" s="159">
        <v>0.5</v>
      </c>
      <c r="J22" s="159"/>
      <c r="K22" s="159"/>
      <c r="L22" s="159"/>
      <c r="M22" s="159"/>
      <c r="N22" s="160">
        <f t="shared" si="0"/>
        <v>1</v>
      </c>
    </row>
    <row r="23" spans="1:14" ht="12.75">
      <c r="A23" s="117"/>
      <c r="B23" s="156">
        <f>QCI!B33</f>
        <v>8</v>
      </c>
      <c r="C23" s="109" t="str">
        <f>QCI!C33</f>
        <v>PINTURA/ACABAMENTOS</v>
      </c>
      <c r="D23" s="109"/>
      <c r="E23" s="129" t="e">
        <f>QCI!F33</f>
        <v>#VALUE!</v>
      </c>
      <c r="F23" s="129"/>
      <c r="G23" s="159">
        <v>0.1</v>
      </c>
      <c r="H23" s="159">
        <v>0.3</v>
      </c>
      <c r="I23" s="159">
        <v>0.6</v>
      </c>
      <c r="J23" s="159"/>
      <c r="K23" s="159"/>
      <c r="L23" s="159"/>
      <c r="M23" s="159"/>
      <c r="N23" s="160">
        <f t="shared" si="0"/>
        <v>1</v>
      </c>
    </row>
    <row r="24" spans="1:14" ht="12.75">
      <c r="A24" s="117"/>
      <c r="B24" s="133"/>
      <c r="C24" s="108"/>
      <c r="D24" s="108"/>
      <c r="E24" s="132"/>
      <c r="F24" s="132"/>
      <c r="G24" s="159"/>
      <c r="H24" s="159"/>
      <c r="I24" s="159"/>
      <c r="J24" s="159"/>
      <c r="K24" s="159"/>
      <c r="L24" s="159"/>
      <c r="M24" s="159"/>
      <c r="N24" s="160">
        <f t="shared" si="0"/>
        <v>0</v>
      </c>
    </row>
    <row r="25" spans="1:14" ht="12.75">
      <c r="A25" s="117"/>
      <c r="B25" s="133"/>
      <c r="C25" s="108"/>
      <c r="D25" s="108"/>
      <c r="E25" s="132"/>
      <c r="F25" s="132"/>
      <c r="G25" s="159"/>
      <c r="H25" s="159"/>
      <c r="I25" s="159"/>
      <c r="J25" s="159"/>
      <c r="K25" s="159"/>
      <c r="L25" s="159"/>
      <c r="M25" s="159"/>
      <c r="N25" s="160">
        <f t="shared" si="0"/>
        <v>0</v>
      </c>
    </row>
    <row r="26" spans="1:14" ht="12.75">
      <c r="A26" s="117"/>
      <c r="B26" s="133"/>
      <c r="C26" s="108"/>
      <c r="D26" s="108"/>
      <c r="E26" s="132"/>
      <c r="F26" s="132"/>
      <c r="G26" s="159"/>
      <c r="H26" s="159"/>
      <c r="I26" s="159"/>
      <c r="J26" s="159"/>
      <c r="K26" s="159"/>
      <c r="L26" s="159"/>
      <c r="M26" s="159"/>
      <c r="N26" s="160">
        <f t="shared" si="0"/>
        <v>0</v>
      </c>
    </row>
    <row r="27" spans="1:14" ht="12.75">
      <c r="A27" s="117"/>
      <c r="B27" s="136"/>
      <c r="C27" s="110"/>
      <c r="D27" s="110"/>
      <c r="E27" s="138"/>
      <c r="F27" s="138"/>
      <c r="G27" s="161"/>
      <c r="H27" s="161"/>
      <c r="I27" s="161"/>
      <c r="J27" s="161"/>
      <c r="K27" s="161"/>
      <c r="L27" s="161"/>
      <c r="M27" s="161"/>
      <c r="N27" s="162">
        <f t="shared" si="0"/>
        <v>0</v>
      </c>
    </row>
    <row r="28" spans="1:14" ht="12.75">
      <c r="A28" s="117"/>
      <c r="B28" s="163" t="s">
        <v>88</v>
      </c>
      <c r="C28" s="163"/>
      <c r="D28" s="163"/>
      <c r="E28" s="164">
        <v>1</v>
      </c>
      <c r="F28" s="165"/>
      <c r="G28" s="166" t="e">
        <f aca="true" t="shared" si="1" ref="G28:M28">G29/$E$29</f>
        <v>#VALUE!</v>
      </c>
      <c r="H28" s="166" t="e">
        <f t="shared" si="1"/>
        <v>#VALUE!</v>
      </c>
      <c r="I28" s="166" t="e">
        <f t="shared" si="1"/>
        <v>#VALUE!</v>
      </c>
      <c r="J28" s="166" t="e">
        <f t="shared" si="1"/>
        <v>#VALUE!</v>
      </c>
      <c r="K28" s="166" t="e">
        <f t="shared" si="1"/>
        <v>#VALUE!</v>
      </c>
      <c r="L28" s="166" t="e">
        <f t="shared" si="1"/>
        <v>#VALUE!</v>
      </c>
      <c r="M28" s="166" t="e">
        <f t="shared" si="1"/>
        <v>#VALUE!</v>
      </c>
      <c r="N28" s="167"/>
    </row>
    <row r="29" spans="1:14" ht="12.75">
      <c r="A29" s="117"/>
      <c r="B29" s="163" t="s">
        <v>2</v>
      </c>
      <c r="C29" s="163"/>
      <c r="D29" s="163"/>
      <c r="E29" s="168" t="e">
        <f>SUM(E16:F27)</f>
        <v>#VALUE!</v>
      </c>
      <c r="F29" s="132"/>
      <c r="G29" s="169" t="e">
        <f>(G17*$E$17)+(G18*$E$18)+(G19*$E$19)+(G20*$E$20)+(G21*$E$21)+(G22*$E$22)+(G23*$E$23)+(G24*$E$24)+(G25*$E$25)+(G26*$E$26)+(G16*$E$16)</f>
        <v>#VALUE!</v>
      </c>
      <c r="H29" s="169" t="e">
        <f>(H17*$E$17)+(H18*$E$18)+(H19*$E$19)+(H20*$E$20)+(H21*$E$21)+(H22*$E$22)+(H23*$E$23)+(H24*$E$24)+(H25*$E$25)+(H16*$E$26)+(H27*$E$16)</f>
        <v>#VALUE!</v>
      </c>
      <c r="I29" s="169" t="e">
        <f>(I17*$E$17)+(I18*$E$18)+(I19*$E$19)+(I20*$E$20)+(I21*$E$21)+(I22*$E$22)+(I23*$E$23)+(I24*$E$24)+(I25*$E$25)+(I26*$E$16)+(I16*$E$27)</f>
        <v>#VALUE!</v>
      </c>
      <c r="J29" s="169" t="e">
        <f>(J17*$E$17)+(J18*$E$18)+(J19*$E$19)+(J20*$E$20)+(J21*$E$21)+(J22*$E$22)+(J23*$E$23)+(J24*$E$24)+(J25*$E$25)+(J26*$E$26)+(J27*$E$27)</f>
        <v>#VALUE!</v>
      </c>
      <c r="K29" s="169" t="e">
        <f>(K17*$E$17)+(K18*$E$18)+(K19*$E$19)+(K20*$E$20)+(K21*$E$21)+(K22*$E$22)+(K23*$E$23)+(K24*$E$24)+(K25*$E$25)+(K26*$E$26)+(K27*$E$27)</f>
        <v>#VALUE!</v>
      </c>
      <c r="L29" s="169" t="e">
        <f>(L17*$E$17)+(L18*$E$18)+(L19*$E$19)+(L20*$E$20)+(L21*$E$21)+(L22*$E$22)+(L23*$E$23)+(L24*$E$24)+(L25*$E$25)+(L26*$E$26)+(L27*$E$27)</f>
        <v>#VALUE!</v>
      </c>
      <c r="M29" s="169" t="e">
        <f>(M17*$E$17)+(M18*$E$18)+(M19*$E$19)+(M20*$E$20)+(M21*$E$21)+(M22*$E$22)+(M23*$E$23)+(M24*$E$24)+(M25*$E$25)+(M26*$E$26)+(M27*$E$27)</f>
        <v>#VALUE!</v>
      </c>
      <c r="N29" s="170"/>
    </row>
    <row r="30" spans="1:14" ht="12.75">
      <c r="A30" s="117"/>
      <c r="B30" s="163" t="s">
        <v>87</v>
      </c>
      <c r="C30" s="163"/>
      <c r="D30" s="163"/>
      <c r="E30" s="171"/>
      <c r="F30" s="172"/>
      <c r="G30" s="173" t="e">
        <f>G29</f>
        <v>#VALUE!</v>
      </c>
      <c r="H30" s="173" t="e">
        <f aca="true" t="shared" si="2" ref="H30:M30">H29+G30</f>
        <v>#VALUE!</v>
      </c>
      <c r="I30" s="173" t="e">
        <f t="shared" si="2"/>
        <v>#VALUE!</v>
      </c>
      <c r="J30" s="173" t="e">
        <f t="shared" si="2"/>
        <v>#VALUE!</v>
      </c>
      <c r="K30" s="173" t="e">
        <f t="shared" si="2"/>
        <v>#VALUE!</v>
      </c>
      <c r="L30" s="173" t="e">
        <f t="shared" si="2"/>
        <v>#VALUE!</v>
      </c>
      <c r="M30" s="173" t="e">
        <f t="shared" si="2"/>
        <v>#VALUE!</v>
      </c>
      <c r="N30" s="174"/>
    </row>
    <row r="31" spans="1:14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1:14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1:14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</row>
    <row r="38" spans="1:14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spans="1:14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1:14" ht="12.75">
      <c r="A42" s="117"/>
      <c r="B42" s="117"/>
      <c r="C42" s="117"/>
      <c r="D42" s="117"/>
      <c r="E42" s="117"/>
      <c r="F42" s="146" t="s">
        <v>90</v>
      </c>
      <c r="G42" s="147" t="str">
        <f>'P. BDI'!C40</f>
        <v>.</v>
      </c>
      <c r="H42" s="148"/>
      <c r="I42" s="117"/>
      <c r="J42" s="117"/>
      <c r="K42" s="117"/>
      <c r="L42" s="117"/>
      <c r="M42" s="117"/>
      <c r="N42" s="117"/>
    </row>
    <row r="43" spans="1:14" ht="12.75">
      <c r="A43" s="117"/>
      <c r="B43" s="117"/>
      <c r="C43" s="117"/>
      <c r="D43" s="117"/>
      <c r="E43" s="117"/>
      <c r="F43" s="149" t="s">
        <v>92</v>
      </c>
      <c r="G43" s="144" t="str">
        <f>'P. BDI'!C41</f>
        <v>.</v>
      </c>
      <c r="H43" s="117"/>
      <c r="I43" s="117"/>
      <c r="J43" s="117"/>
      <c r="K43" s="117"/>
      <c r="L43" s="117"/>
      <c r="M43" s="117"/>
      <c r="N43" s="117"/>
    </row>
    <row r="44" spans="1:14" ht="12.75">
      <c r="A44" s="117"/>
      <c r="B44" s="117"/>
      <c r="C44" s="117"/>
      <c r="D44" s="117"/>
      <c r="E44" s="117"/>
      <c r="F44" s="150"/>
      <c r="G44" s="59"/>
      <c r="H44" s="117"/>
      <c r="I44" s="117"/>
      <c r="J44" s="117"/>
      <c r="K44" s="117"/>
      <c r="L44" s="117"/>
      <c r="M44" s="117"/>
      <c r="N44" s="117"/>
    </row>
    <row r="45" spans="1:14" ht="12.75">
      <c r="A45" s="117"/>
      <c r="B45" s="117"/>
      <c r="C45" s="117"/>
      <c r="D45" s="117"/>
      <c r="E45" s="117"/>
      <c r="F45" s="150"/>
      <c r="G45" s="59"/>
      <c r="H45" s="117"/>
      <c r="I45" s="117"/>
      <c r="J45" s="117"/>
      <c r="K45" s="117"/>
      <c r="L45" s="117"/>
      <c r="M45" s="117"/>
      <c r="N45" s="117"/>
    </row>
    <row r="46" spans="1:14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ht="12.7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t="12.7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1:14" ht="12.7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14" ht="12.7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2.75">
      <c r="A51" s="117"/>
      <c r="B51" s="117"/>
      <c r="C51" s="117"/>
      <c r="D51" s="117"/>
      <c r="E51" s="117"/>
      <c r="F51" s="56"/>
      <c r="G51" s="145"/>
      <c r="H51" s="117"/>
      <c r="I51" s="117"/>
      <c r="J51" s="117"/>
      <c r="K51" s="117"/>
      <c r="L51" s="117"/>
      <c r="M51" s="117"/>
      <c r="N51" s="117"/>
    </row>
    <row r="52" spans="1:14" ht="12.75">
      <c r="A52" s="117"/>
      <c r="B52" s="117"/>
      <c r="C52" s="117"/>
      <c r="D52" s="117"/>
      <c r="E52" s="117"/>
      <c r="F52" s="145"/>
      <c r="G52" s="145"/>
      <c r="H52" s="117"/>
      <c r="I52" s="117"/>
      <c r="J52" s="117"/>
      <c r="K52" s="117"/>
      <c r="L52" s="117"/>
      <c r="M52" s="117"/>
      <c r="N52" s="117"/>
    </row>
    <row r="53" spans="1:14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ht="12.75">
      <c r="A54" s="117"/>
      <c r="B54" s="117"/>
      <c r="C54" s="117"/>
      <c r="D54" s="117"/>
      <c r="E54" s="117"/>
      <c r="F54" s="146" t="s">
        <v>91</v>
      </c>
      <c r="G54" s="147" t="str">
        <f>'P. BDI'!C48</f>
        <v>.</v>
      </c>
      <c r="H54" s="148"/>
      <c r="I54" s="117"/>
      <c r="J54" s="117"/>
      <c r="K54" s="117"/>
      <c r="L54" s="117"/>
      <c r="M54" s="117"/>
      <c r="N54" s="117"/>
    </row>
    <row r="55" spans="1:14" ht="12.75">
      <c r="A55" s="117"/>
      <c r="B55" s="117"/>
      <c r="C55" s="117"/>
      <c r="D55" s="117"/>
      <c r="E55" s="117"/>
      <c r="F55" s="149" t="s">
        <v>38</v>
      </c>
      <c r="G55" s="144" t="str">
        <f>'P. BDI'!C49</f>
        <v>cpf:</v>
      </c>
      <c r="H55" s="117"/>
      <c r="I55" s="117"/>
      <c r="J55" s="117"/>
      <c r="K55" s="117"/>
      <c r="L55" s="117"/>
      <c r="M55" s="117"/>
      <c r="N55" s="117"/>
    </row>
    <row r="56" spans="1:14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</sheetData>
  <sheetProtection password="C637" sheet="1" selectLockedCells="1"/>
  <mergeCells count="47">
    <mergeCell ref="E16:F16"/>
    <mergeCell ref="A10:B10"/>
    <mergeCell ref="A5:B5"/>
    <mergeCell ref="D5:E5"/>
    <mergeCell ref="F5:G5"/>
    <mergeCell ref="A6:B6"/>
    <mergeCell ref="D6:E6"/>
    <mergeCell ref="F6:G6"/>
    <mergeCell ref="E15:F15"/>
    <mergeCell ref="A2:N3"/>
    <mergeCell ref="A11:B11"/>
    <mergeCell ref="A12:B12"/>
    <mergeCell ref="E24:F24"/>
    <mergeCell ref="E25:F25"/>
    <mergeCell ref="A7:B7"/>
    <mergeCell ref="D7:E7"/>
    <mergeCell ref="F7:G7"/>
    <mergeCell ref="A8:B8"/>
    <mergeCell ref="A9:B9"/>
    <mergeCell ref="C26:D26"/>
    <mergeCell ref="C27:D27"/>
    <mergeCell ref="B30:D30"/>
    <mergeCell ref="E30:F30"/>
    <mergeCell ref="E26:F26"/>
    <mergeCell ref="E27:F27"/>
    <mergeCell ref="E28:F28"/>
    <mergeCell ref="E29:F29"/>
    <mergeCell ref="B29:D29"/>
    <mergeCell ref="B28:D28"/>
    <mergeCell ref="E17:F17"/>
    <mergeCell ref="E18:F18"/>
    <mergeCell ref="C22:D22"/>
    <mergeCell ref="C23:D23"/>
    <mergeCell ref="E19:F19"/>
    <mergeCell ref="E20:F20"/>
    <mergeCell ref="E21:F21"/>
    <mergeCell ref="E22:F22"/>
    <mergeCell ref="E23:F23"/>
    <mergeCell ref="C24:D24"/>
    <mergeCell ref="C25:D25"/>
    <mergeCell ref="C15:D15"/>
    <mergeCell ref="C17:D17"/>
    <mergeCell ref="C18:D18"/>
    <mergeCell ref="C19:D19"/>
    <mergeCell ref="C20:D20"/>
    <mergeCell ref="C21:D21"/>
    <mergeCell ref="C16:D16"/>
  </mergeCells>
  <conditionalFormatting sqref="C17:C26">
    <cfRule type="expression" priority="16" dxfId="109" stopIfTrue="1">
      <formula>$J17=1</formula>
    </cfRule>
    <cfRule type="expression" priority="17" dxfId="110" stopIfTrue="1">
      <formula>$K17=2</formula>
    </cfRule>
    <cfRule type="expression" priority="18" dxfId="111" stopIfTrue="1">
      <formula>$K17=3</formula>
    </cfRule>
  </conditionalFormatting>
  <conditionalFormatting sqref="C27">
    <cfRule type="expression" priority="10" dxfId="109" stopIfTrue="1">
      <formula>$J27=1</formula>
    </cfRule>
    <cfRule type="expression" priority="11" dxfId="110" stopIfTrue="1">
      <formula>$K27=2</formula>
    </cfRule>
    <cfRule type="expression" priority="12" dxfId="111" stopIfTrue="1">
      <formula>$K27=3</formula>
    </cfRule>
  </conditionalFormatting>
  <conditionalFormatting sqref="C16">
    <cfRule type="expression" priority="1" dxfId="109" stopIfTrue="1">
      <formula>$J16=1</formula>
    </cfRule>
    <cfRule type="expression" priority="2" dxfId="110" stopIfTrue="1">
      <formula>$K16=2</formula>
    </cfRule>
    <cfRule type="expression" priority="3" dxfId="111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zoomScalePageLayoutView="0" workbookViewId="0" topLeftCell="A4">
      <selection activeCell="I9" sqref="I9"/>
    </sheetView>
  </sheetViews>
  <sheetFormatPr defaultColWidth="9.140625" defaultRowHeight="12.75"/>
  <cols>
    <col min="2" max="2" width="9.421875" style="0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7" width="11.7109375" style="0" customWidth="1"/>
    <col min="8" max="8" width="13.140625" style="0" customWidth="1"/>
    <col min="10" max="10" width="13.28125" style="0" bestFit="1" customWidth="1"/>
  </cols>
  <sheetData>
    <row r="1" ht="37.5" customHeight="1">
      <c r="A1" s="27" t="s">
        <v>42</v>
      </c>
    </row>
    <row r="2" spans="1:9" ht="12.75" customHeight="1">
      <c r="A2" s="111" t="s">
        <v>71</v>
      </c>
      <c r="B2" s="111"/>
      <c r="C2" s="111"/>
      <c r="D2" s="111"/>
      <c r="E2" s="111"/>
      <c r="F2" s="111"/>
      <c r="G2" s="111"/>
      <c r="H2" s="111"/>
      <c r="I2" s="2"/>
    </row>
    <row r="3" spans="1:8" ht="15" customHeight="1">
      <c r="A3" s="111"/>
      <c r="B3" s="111"/>
      <c r="C3" s="111"/>
      <c r="D3" s="111"/>
      <c r="E3" s="111"/>
      <c r="F3" s="111"/>
      <c r="G3" s="111"/>
      <c r="H3" s="111"/>
    </row>
    <row r="4" spans="1:8" ht="12.75" customHeight="1">
      <c r="A4" s="112"/>
      <c r="B4" s="112"/>
      <c r="C4" s="112"/>
      <c r="D4" s="112"/>
      <c r="E4" s="112"/>
      <c r="F4" s="112"/>
      <c r="G4" s="112"/>
      <c r="H4" s="112"/>
    </row>
    <row r="5" spans="1:8" ht="12.75" customHeight="1">
      <c r="A5" s="112"/>
      <c r="B5" s="112"/>
      <c r="C5" s="112"/>
      <c r="D5" s="112"/>
      <c r="E5" s="112"/>
      <c r="F5" s="112"/>
      <c r="G5" s="112"/>
      <c r="H5" s="112"/>
    </row>
    <row r="6" spans="1:8" ht="12.75" customHeight="1">
      <c r="A6" s="112"/>
      <c r="B6" s="112"/>
      <c r="C6" s="112"/>
      <c r="D6" s="112"/>
      <c r="E6" s="112"/>
      <c r="F6" s="112"/>
      <c r="G6" s="112"/>
      <c r="H6" s="112"/>
    </row>
    <row r="7" spans="1:8" ht="12.75" customHeight="1">
      <c r="A7" s="112"/>
      <c r="B7" s="112"/>
      <c r="C7" s="112"/>
      <c r="D7" s="112"/>
      <c r="E7" s="112"/>
      <c r="F7" s="112"/>
      <c r="G7" s="112"/>
      <c r="H7" s="112"/>
    </row>
    <row r="8" spans="1:8" ht="15.75" customHeight="1">
      <c r="A8" s="113" t="str">
        <f>'P. BDI'!B3</f>
        <v>Edital :</v>
      </c>
      <c r="B8" s="113"/>
      <c r="C8" s="114" t="str">
        <f>'P. BDI'!C3:F3</f>
        <v>TP -preencher</v>
      </c>
      <c r="D8" s="115"/>
      <c r="E8" s="116"/>
      <c r="F8" s="116"/>
      <c r="G8" s="116"/>
      <c r="H8" s="117"/>
    </row>
    <row r="9" spans="1:9" ht="12.75">
      <c r="A9" s="113" t="str">
        <f>'P. BDI'!B4</f>
        <v>Tomador: </v>
      </c>
      <c r="B9" s="113"/>
      <c r="C9" s="114" t="str">
        <f>'P. BDI'!C4:F4</f>
        <v>Prefeitura Municipal de Dois Vizinhos - PR</v>
      </c>
      <c r="D9" s="115"/>
      <c r="E9" s="116"/>
      <c r="F9" s="116"/>
      <c r="G9" s="116"/>
      <c r="H9" s="117"/>
      <c r="I9" s="28"/>
    </row>
    <row r="10" spans="1:8" ht="12.75">
      <c r="A10" s="113" t="str">
        <f>'P. BDI'!B5</f>
        <v>Empreendimento: </v>
      </c>
      <c r="B10" s="113"/>
      <c r="C10" s="114" t="str">
        <f>'P. BDI'!C5:F5</f>
        <v>CONSTRUÇÃO LANCHONETE PRAÇA ARI MULLER</v>
      </c>
      <c r="D10" s="115"/>
      <c r="E10" s="115"/>
      <c r="F10" s="118"/>
      <c r="G10" s="119"/>
      <c r="H10" s="116"/>
    </row>
    <row r="11" spans="1:8" ht="12.75">
      <c r="A11" s="113" t="str">
        <f>'P. BDI'!B6</f>
        <v>Local da Obra:</v>
      </c>
      <c r="B11" s="113"/>
      <c r="C11" s="114" t="str">
        <f>'P. BDI'!C6:F6</f>
        <v>PRAÇA ARI MULLER - RUA GUILHERME A. GIORDANI</v>
      </c>
      <c r="D11" s="115"/>
      <c r="E11" s="115"/>
      <c r="F11" s="118"/>
      <c r="G11" s="119"/>
      <c r="H11" s="116"/>
    </row>
    <row r="12" spans="1:8" ht="12.75">
      <c r="A12" s="113" t="str">
        <f>'P. BDI'!B7</f>
        <v>Empresa Prop.:</v>
      </c>
      <c r="B12" s="113"/>
      <c r="C12" s="114" t="str">
        <f>'P. BDI'!C7:F7</f>
        <v>preencher</v>
      </c>
      <c r="D12" s="115"/>
      <c r="E12" s="116"/>
      <c r="F12" s="116"/>
      <c r="G12" s="116"/>
      <c r="H12" s="116"/>
    </row>
    <row r="13" spans="1:8" ht="12.75">
      <c r="A13" s="113" t="str">
        <f>'P. BDI'!B8</f>
        <v>CNPJ:</v>
      </c>
      <c r="B13" s="113"/>
      <c r="C13" s="114" t="str">
        <f>'P. BDI'!C8:F8</f>
        <v>preencher</v>
      </c>
      <c r="D13" s="115"/>
      <c r="E13" s="116"/>
      <c r="F13" s="116"/>
      <c r="G13" s="116"/>
      <c r="H13" s="116"/>
    </row>
    <row r="14" spans="1:8" ht="12.75">
      <c r="A14" s="113" t="str">
        <f>'P. BDI'!B9</f>
        <v>Data Base:</v>
      </c>
      <c r="B14" s="113"/>
      <c r="C14" s="120" t="str">
        <f>'P. BDI'!C9:F9</f>
        <v>preencher</v>
      </c>
      <c r="D14" s="115"/>
      <c r="E14" s="115"/>
      <c r="F14" s="118"/>
      <c r="G14" s="119"/>
      <c r="H14" s="119"/>
    </row>
    <row r="15" spans="1:8" ht="12.75">
      <c r="A15" s="113" t="str">
        <f>Orçamento!A12</f>
        <v>BDI:</v>
      </c>
      <c r="B15" s="113"/>
      <c r="C15" s="121" t="e">
        <f>Orçamento!C12</f>
        <v>#VALUE!</v>
      </c>
      <c r="D15" s="115"/>
      <c r="E15" s="115"/>
      <c r="F15" s="118"/>
      <c r="G15" s="119"/>
      <c r="H15" s="119"/>
    </row>
    <row r="16" spans="1:8" ht="12.75">
      <c r="A16" s="122"/>
      <c r="B16" s="123"/>
      <c r="C16" s="124"/>
      <c r="D16" s="116"/>
      <c r="E16" s="116"/>
      <c r="F16" s="116"/>
      <c r="G16" s="116"/>
      <c r="H16" s="116"/>
    </row>
    <row r="17" spans="1:8" ht="12.75">
      <c r="A17" s="122"/>
      <c r="B17" s="123"/>
      <c r="C17" s="124"/>
      <c r="D17" s="116"/>
      <c r="E17" s="116"/>
      <c r="F17" s="116"/>
      <c r="G17" s="116"/>
      <c r="H17" s="116"/>
    </row>
    <row r="18" spans="1:8" ht="12.75">
      <c r="A18" s="122"/>
      <c r="B18" s="123"/>
      <c r="C18" s="124"/>
      <c r="D18" s="116"/>
      <c r="E18" s="116"/>
      <c r="F18" s="116"/>
      <c r="G18" s="116"/>
      <c r="H18" s="116"/>
    </row>
    <row r="19" spans="1:8" ht="12.75">
      <c r="A19" s="122"/>
      <c r="B19" s="123"/>
      <c r="C19" s="124"/>
      <c r="D19" s="116"/>
      <c r="E19" s="116"/>
      <c r="F19" s="116"/>
      <c r="G19" s="116"/>
      <c r="H19" s="116"/>
    </row>
    <row r="20" spans="1:8" ht="12.75">
      <c r="A20" s="122"/>
      <c r="B20" s="123"/>
      <c r="C20" s="124"/>
      <c r="D20" s="116"/>
      <c r="E20" s="116"/>
      <c r="F20" s="116"/>
      <c r="G20" s="116"/>
      <c r="H20" s="116"/>
    </row>
    <row r="21" spans="1:8" ht="12.75">
      <c r="A21" s="122"/>
      <c r="B21" s="123"/>
      <c r="C21" s="124"/>
      <c r="D21" s="116"/>
      <c r="E21" s="116"/>
      <c r="F21" s="116"/>
      <c r="G21" s="116"/>
      <c r="H21" s="116"/>
    </row>
    <row r="22" spans="1:8" ht="12.75">
      <c r="A22" s="122"/>
      <c r="B22" s="123"/>
      <c r="C22" s="124"/>
      <c r="D22" s="116"/>
      <c r="E22" s="116"/>
      <c r="F22" s="116"/>
      <c r="G22" s="116"/>
      <c r="H22" s="116"/>
    </row>
    <row r="23" spans="1:8" ht="12.75">
      <c r="A23" s="122"/>
      <c r="B23" s="123"/>
      <c r="C23" s="124"/>
      <c r="D23" s="116"/>
      <c r="E23" s="116"/>
      <c r="F23" s="116"/>
      <c r="G23" s="116"/>
      <c r="H23" s="116"/>
    </row>
    <row r="24" spans="1:8" ht="12.75">
      <c r="A24" s="122"/>
      <c r="B24" s="123"/>
      <c r="C24" s="124"/>
      <c r="D24" s="116"/>
      <c r="E24" s="116"/>
      <c r="F24" s="116"/>
      <c r="G24" s="116"/>
      <c r="H24" s="116"/>
    </row>
    <row r="25" spans="1:8" ht="12.75">
      <c r="A25" s="117"/>
      <c r="B25" s="125" t="s">
        <v>48</v>
      </c>
      <c r="C25" s="125" t="s">
        <v>72</v>
      </c>
      <c r="D25" s="126" t="s">
        <v>75</v>
      </c>
      <c r="E25" s="126"/>
      <c r="F25" s="126" t="s">
        <v>74</v>
      </c>
      <c r="G25" s="126"/>
      <c r="H25" s="125" t="s">
        <v>76</v>
      </c>
    </row>
    <row r="26" spans="1:8" ht="12.75">
      <c r="A26" s="117"/>
      <c r="B26" s="127">
        <f>Orçamento!A16</f>
        <v>1</v>
      </c>
      <c r="C26" s="70" t="str">
        <f>Orçamento!C16</f>
        <v>SERVIÇOS PRELIMINARES</v>
      </c>
      <c r="D26" s="128" t="e">
        <f>F26/$H$39</f>
        <v>#VALUE!</v>
      </c>
      <c r="E26" s="128"/>
      <c r="F26" s="129" t="e">
        <f>Orçamento!H16</f>
        <v>#VALUE!</v>
      </c>
      <c r="G26" s="129"/>
      <c r="H26" s="130" t="e">
        <f>F26</f>
        <v>#VALUE!</v>
      </c>
    </row>
    <row r="27" spans="1:8" ht="12.75">
      <c r="A27" s="117"/>
      <c r="B27" s="127">
        <f>Orçamento!A22</f>
        <v>2</v>
      </c>
      <c r="C27" s="70" t="str">
        <f>Orçamento!C22</f>
        <v>ESTRUTURA</v>
      </c>
      <c r="D27" s="128" t="e">
        <f aca="true" t="shared" si="0" ref="D27:D33">F27/$H$39</f>
        <v>#VALUE!</v>
      </c>
      <c r="E27" s="128"/>
      <c r="F27" s="129" t="e">
        <f>Orçamento!H22</f>
        <v>#VALUE!</v>
      </c>
      <c r="G27" s="129"/>
      <c r="H27" s="130" t="e">
        <f aca="true" t="shared" si="1" ref="H27:H33">H26+F27</f>
        <v>#VALUE!</v>
      </c>
    </row>
    <row r="28" spans="1:8" ht="12.75">
      <c r="A28" s="117"/>
      <c r="B28" s="131">
        <f>Orçamento!A34</f>
        <v>3</v>
      </c>
      <c r="C28" s="68" t="str">
        <f>Orçamento!C34</f>
        <v>COBERTURA</v>
      </c>
      <c r="D28" s="128" t="e">
        <f t="shared" si="0"/>
        <v>#VALUE!</v>
      </c>
      <c r="E28" s="128"/>
      <c r="F28" s="132" t="e">
        <f>Orçamento!H34</f>
        <v>#VALUE!</v>
      </c>
      <c r="G28" s="132"/>
      <c r="H28" s="130" t="e">
        <f t="shared" si="1"/>
        <v>#VALUE!</v>
      </c>
    </row>
    <row r="29" spans="1:8" ht="12.75">
      <c r="A29" s="117"/>
      <c r="B29" s="131">
        <f>Orçamento!A45</f>
        <v>4</v>
      </c>
      <c r="C29" s="68" t="str">
        <f>Orçamento!C45</f>
        <v>PISO E REVESTIMENTOS</v>
      </c>
      <c r="D29" s="128" t="e">
        <f t="shared" si="0"/>
        <v>#VALUE!</v>
      </c>
      <c r="E29" s="128"/>
      <c r="F29" s="132" t="e">
        <f>Orçamento!H45</f>
        <v>#VALUE!</v>
      </c>
      <c r="G29" s="132"/>
      <c r="H29" s="130" t="e">
        <f t="shared" si="1"/>
        <v>#VALUE!</v>
      </c>
    </row>
    <row r="30" spans="1:8" ht="12.75">
      <c r="A30" s="117"/>
      <c r="B30" s="131">
        <f>Orçamento!A57</f>
        <v>5</v>
      </c>
      <c r="C30" s="68" t="str">
        <f>Orçamento!C57</f>
        <v>ESQUADRIAS / ACESSORIOS</v>
      </c>
      <c r="D30" s="128" t="e">
        <f t="shared" si="0"/>
        <v>#VALUE!</v>
      </c>
      <c r="E30" s="128"/>
      <c r="F30" s="132" t="e">
        <f>Orçamento!H57</f>
        <v>#VALUE!</v>
      </c>
      <c r="G30" s="132"/>
      <c r="H30" s="130" t="e">
        <f t="shared" si="1"/>
        <v>#VALUE!</v>
      </c>
    </row>
    <row r="31" spans="1:8" ht="12.75">
      <c r="A31" s="117"/>
      <c r="B31" s="131">
        <f>Orçamento!A71</f>
        <v>6</v>
      </c>
      <c r="C31" s="68" t="str">
        <f>Orçamento!C71</f>
        <v>HIDRAULICA</v>
      </c>
      <c r="D31" s="128" t="e">
        <f t="shared" si="0"/>
        <v>#VALUE!</v>
      </c>
      <c r="E31" s="128"/>
      <c r="F31" s="132" t="e">
        <f>Orçamento!H71</f>
        <v>#VALUE!</v>
      </c>
      <c r="G31" s="132"/>
      <c r="H31" s="130" t="e">
        <f t="shared" si="1"/>
        <v>#VALUE!</v>
      </c>
    </row>
    <row r="32" spans="1:8" ht="12.75">
      <c r="A32" s="117"/>
      <c r="B32" s="131">
        <f>Orçamento!A86</f>
        <v>7</v>
      </c>
      <c r="C32" s="68" t="str">
        <f>Orçamento!C86</f>
        <v>ELÉTRICA</v>
      </c>
      <c r="D32" s="128" t="e">
        <f t="shared" si="0"/>
        <v>#VALUE!</v>
      </c>
      <c r="E32" s="128"/>
      <c r="F32" s="132" t="e">
        <f>Orçamento!H86</f>
        <v>#VALUE!</v>
      </c>
      <c r="G32" s="132"/>
      <c r="H32" s="130" t="e">
        <f t="shared" si="1"/>
        <v>#VALUE!</v>
      </c>
    </row>
    <row r="33" spans="1:8" ht="12.75">
      <c r="A33" s="117"/>
      <c r="B33" s="131">
        <f>Orçamento!A103</f>
        <v>8</v>
      </c>
      <c r="C33" s="68" t="str">
        <f>Orçamento!C103</f>
        <v>PINTURA/ACABAMENTOS</v>
      </c>
      <c r="D33" s="128" t="e">
        <f t="shared" si="0"/>
        <v>#VALUE!</v>
      </c>
      <c r="E33" s="128"/>
      <c r="F33" s="132" t="e">
        <f>Orçamento!H103</f>
        <v>#VALUE!</v>
      </c>
      <c r="G33" s="132"/>
      <c r="H33" s="130" t="e">
        <f t="shared" si="1"/>
        <v>#VALUE!</v>
      </c>
    </row>
    <row r="34" spans="1:8" ht="12.75">
      <c r="A34" s="117"/>
      <c r="B34" s="133"/>
      <c r="C34" s="68"/>
      <c r="D34" s="128"/>
      <c r="E34" s="128"/>
      <c r="F34" s="132"/>
      <c r="G34" s="132"/>
      <c r="H34" s="134"/>
    </row>
    <row r="35" spans="1:8" ht="12.75">
      <c r="A35" s="117"/>
      <c r="B35" s="133"/>
      <c r="C35" s="68"/>
      <c r="D35" s="135"/>
      <c r="E35" s="135"/>
      <c r="F35" s="132"/>
      <c r="G35" s="132"/>
      <c r="H35" s="134"/>
    </row>
    <row r="36" spans="1:8" ht="12.75">
      <c r="A36" s="117"/>
      <c r="B36" s="133"/>
      <c r="C36" s="68"/>
      <c r="D36" s="135"/>
      <c r="E36" s="135"/>
      <c r="F36" s="132"/>
      <c r="G36" s="132"/>
      <c r="H36" s="134"/>
    </row>
    <row r="37" spans="1:8" ht="12.75">
      <c r="A37" s="117"/>
      <c r="B37" s="133"/>
      <c r="C37" s="68"/>
      <c r="D37" s="135"/>
      <c r="E37" s="135"/>
      <c r="F37" s="132"/>
      <c r="G37" s="132"/>
      <c r="H37" s="134"/>
    </row>
    <row r="38" spans="1:8" ht="12.75">
      <c r="A38" s="117"/>
      <c r="B38" s="136"/>
      <c r="C38" s="69"/>
      <c r="D38" s="137"/>
      <c r="E38" s="137"/>
      <c r="F38" s="138"/>
      <c r="G38" s="138"/>
      <c r="H38" s="139"/>
    </row>
    <row r="39" spans="1:8" ht="12.75">
      <c r="A39" s="117"/>
      <c r="B39" s="140" t="s">
        <v>77</v>
      </c>
      <c r="C39" s="140"/>
      <c r="D39" s="141" t="e">
        <f>SUM(D26:E37)</f>
        <v>#VALUE!</v>
      </c>
      <c r="E39" s="126"/>
      <c r="F39" s="142" t="e">
        <f>SUM(F26:G37)</f>
        <v>#VALUE!</v>
      </c>
      <c r="G39" s="126"/>
      <c r="H39" s="143" t="e">
        <f>H33</f>
        <v>#VALUE!</v>
      </c>
    </row>
    <row r="40" spans="1:8" ht="12.75">
      <c r="A40" s="117"/>
      <c r="B40" s="117"/>
      <c r="C40" s="117"/>
      <c r="D40" s="117"/>
      <c r="E40" s="117"/>
      <c r="F40" s="117"/>
      <c r="G40" s="117"/>
      <c r="H40" s="117"/>
    </row>
    <row r="41" spans="1:8" ht="12.75">
      <c r="A41" s="117"/>
      <c r="B41" s="117"/>
      <c r="C41" s="117"/>
      <c r="D41" s="117"/>
      <c r="E41" s="117"/>
      <c r="F41" s="117"/>
      <c r="G41" s="117"/>
      <c r="H41" s="117"/>
    </row>
    <row r="42" spans="1:8" ht="12.75">
      <c r="A42" s="117"/>
      <c r="B42" s="117"/>
      <c r="C42" s="117"/>
      <c r="D42" s="117"/>
      <c r="E42" s="117"/>
      <c r="F42" s="117"/>
      <c r="G42" s="117"/>
      <c r="H42" s="117"/>
    </row>
    <row r="43" spans="1:8" ht="13.5" customHeight="1">
      <c r="A43" s="117"/>
      <c r="B43" s="117"/>
      <c r="C43" s="117"/>
      <c r="D43" s="117"/>
      <c r="E43" s="117"/>
      <c r="F43" s="117"/>
      <c r="G43" s="117"/>
      <c r="H43" s="117"/>
    </row>
    <row r="44" spans="1:8" ht="12.75">
      <c r="A44" s="117"/>
      <c r="B44" s="117"/>
      <c r="C44" s="117"/>
      <c r="D44" s="117"/>
      <c r="E44" s="117"/>
      <c r="F44" s="117"/>
      <c r="G44" s="117"/>
      <c r="H44" s="117"/>
    </row>
    <row r="45" spans="1:8" ht="12.75">
      <c r="A45" s="117"/>
      <c r="B45" s="117"/>
      <c r="C45" s="144"/>
      <c r="D45" s="117"/>
      <c r="E45" s="117"/>
      <c r="F45" s="117"/>
      <c r="G45" s="117"/>
      <c r="H45" s="117"/>
    </row>
    <row r="46" spans="1:8" ht="12.75">
      <c r="A46" s="117"/>
      <c r="B46" s="117"/>
      <c r="C46" s="144"/>
      <c r="D46" s="117"/>
      <c r="E46" s="117"/>
      <c r="F46" s="117"/>
      <c r="G46" s="117"/>
      <c r="H46" s="117"/>
    </row>
    <row r="47" spans="1:8" ht="12.75">
      <c r="A47" s="117"/>
      <c r="B47" s="117"/>
      <c r="C47" s="59"/>
      <c r="D47" s="117"/>
      <c r="E47" s="117"/>
      <c r="F47" s="117"/>
      <c r="G47" s="117"/>
      <c r="H47" s="117"/>
    </row>
    <row r="48" spans="1:8" ht="12.75">
      <c r="A48" s="117"/>
      <c r="B48" s="117"/>
      <c r="C48" s="59"/>
      <c r="D48" s="117"/>
      <c r="E48" s="117"/>
      <c r="F48" s="117"/>
      <c r="G48" s="117"/>
      <c r="H48" s="117"/>
    </row>
    <row r="49" spans="1:8" ht="12.75">
      <c r="A49" s="117"/>
      <c r="B49" s="117"/>
      <c r="C49" s="145"/>
      <c r="D49" s="146" t="s">
        <v>90</v>
      </c>
      <c r="E49" s="147" t="str">
        <f>'P. BDI'!C40</f>
        <v>.</v>
      </c>
      <c r="F49" s="148"/>
      <c r="G49" s="117"/>
      <c r="H49" s="117"/>
    </row>
    <row r="50" spans="1:8" ht="12.75">
      <c r="A50" s="117"/>
      <c r="B50" s="117"/>
      <c r="C50" s="145"/>
      <c r="D50" s="149" t="s">
        <v>92</v>
      </c>
      <c r="E50" s="144" t="str">
        <f>'P. BDI'!C41</f>
        <v>.</v>
      </c>
      <c r="F50" s="117"/>
      <c r="G50" s="117"/>
      <c r="H50" s="117"/>
    </row>
    <row r="51" spans="1:8" ht="12.75">
      <c r="A51" s="117"/>
      <c r="B51" s="117"/>
      <c r="C51" s="144"/>
      <c r="D51" s="150"/>
      <c r="E51" s="59"/>
      <c r="F51" s="117"/>
      <c r="G51" s="117"/>
      <c r="H51" s="117"/>
    </row>
    <row r="52" spans="1:8" ht="12.75">
      <c r="A52" s="117"/>
      <c r="B52" s="117"/>
      <c r="C52" s="144"/>
      <c r="D52" s="150"/>
      <c r="E52" s="59"/>
      <c r="F52" s="117"/>
      <c r="G52" s="117"/>
      <c r="H52" s="117"/>
    </row>
    <row r="53" spans="1:8" ht="12.75">
      <c r="A53" s="117"/>
      <c r="B53" s="117"/>
      <c r="C53" s="117"/>
      <c r="D53" s="56"/>
      <c r="E53" s="145"/>
      <c r="F53" s="117"/>
      <c r="G53" s="117"/>
      <c r="H53" s="117"/>
    </row>
    <row r="54" spans="1:8" ht="12.75">
      <c r="A54" s="117"/>
      <c r="B54" s="117"/>
      <c r="C54" s="117"/>
      <c r="D54" s="117"/>
      <c r="E54" s="117"/>
      <c r="F54" s="117"/>
      <c r="G54" s="117"/>
      <c r="H54" s="117"/>
    </row>
    <row r="55" spans="1:8" ht="12.75">
      <c r="A55" s="117"/>
      <c r="B55" s="117"/>
      <c r="C55" s="117"/>
      <c r="D55" s="117"/>
      <c r="E55" s="117"/>
      <c r="F55" s="117"/>
      <c r="G55" s="117"/>
      <c r="H55" s="117"/>
    </row>
    <row r="56" spans="1:8" ht="12.75">
      <c r="A56" s="117"/>
      <c r="B56" s="117"/>
      <c r="C56" s="117"/>
      <c r="D56" s="117"/>
      <c r="E56" s="117"/>
      <c r="F56" s="117"/>
      <c r="G56" s="117"/>
      <c r="H56" s="117"/>
    </row>
    <row r="57" spans="1:8" ht="12.75">
      <c r="A57" s="117"/>
      <c r="B57" s="117"/>
      <c r="C57" s="117"/>
      <c r="D57" s="117"/>
      <c r="E57" s="117"/>
      <c r="F57" s="117"/>
      <c r="G57" s="117"/>
      <c r="H57" s="117"/>
    </row>
    <row r="58" spans="1:8" ht="12.75">
      <c r="A58" s="117"/>
      <c r="B58" s="117"/>
      <c r="C58" s="117"/>
      <c r="D58" s="117"/>
      <c r="E58" s="117"/>
      <c r="F58" s="117"/>
      <c r="G58" s="117"/>
      <c r="H58" s="117"/>
    </row>
    <row r="59" spans="1:8" ht="12.75">
      <c r="A59" s="117"/>
      <c r="B59" s="117"/>
      <c r="C59" s="117"/>
      <c r="D59" s="117"/>
      <c r="E59" s="117"/>
      <c r="F59" s="117"/>
      <c r="G59" s="117"/>
      <c r="H59" s="117"/>
    </row>
    <row r="60" spans="1:8" ht="12.75">
      <c r="A60" s="117"/>
      <c r="B60" s="117"/>
      <c r="C60" s="117"/>
      <c r="D60" s="145"/>
      <c r="E60" s="145"/>
      <c r="F60" s="117"/>
      <c r="G60" s="117"/>
      <c r="H60" s="117"/>
    </row>
    <row r="61" spans="1:8" ht="12.75">
      <c r="A61" s="117"/>
      <c r="B61" s="117"/>
      <c r="C61" s="117"/>
      <c r="D61" s="146" t="s">
        <v>91</v>
      </c>
      <c r="E61" s="147" t="str">
        <f>'P. BDI'!C48</f>
        <v>.</v>
      </c>
      <c r="F61" s="148"/>
      <c r="G61" s="117"/>
      <c r="H61" s="117"/>
    </row>
    <row r="62" spans="1:8" ht="12.75">
      <c r="A62" s="117"/>
      <c r="B62" s="117"/>
      <c r="C62" s="117"/>
      <c r="D62" s="149" t="s">
        <v>38</v>
      </c>
      <c r="E62" s="144" t="str">
        <f>'P. BDI'!C49</f>
        <v>cpf:</v>
      </c>
      <c r="F62" s="117"/>
      <c r="G62" s="117"/>
      <c r="H62" s="117"/>
    </row>
    <row r="63" spans="1:8" ht="12.75">
      <c r="A63" s="117"/>
      <c r="B63" s="117"/>
      <c r="C63" s="117"/>
      <c r="D63" s="117"/>
      <c r="E63" s="117"/>
      <c r="F63" s="117"/>
      <c r="G63" s="117"/>
      <c r="H63" s="117"/>
    </row>
    <row r="64" spans="1:8" ht="12.75">
      <c r="A64" s="117"/>
      <c r="B64" s="117"/>
      <c r="C64" s="117"/>
      <c r="D64" s="117"/>
      <c r="E64" s="117"/>
      <c r="F64" s="117"/>
      <c r="G64" s="117"/>
      <c r="H64" s="117"/>
    </row>
  </sheetData>
  <sheetProtection password="C637" sheet="1" selectLockedCells="1"/>
  <mergeCells count="40">
    <mergeCell ref="D35:E35"/>
    <mergeCell ref="A10:B10"/>
    <mergeCell ref="A11:B11"/>
    <mergeCell ref="A2:H3"/>
    <mergeCell ref="A8:B8"/>
    <mergeCell ref="A9:B9"/>
    <mergeCell ref="F32:G32"/>
    <mergeCell ref="A12:B12"/>
    <mergeCell ref="A13:B13"/>
    <mergeCell ref="A14:B14"/>
    <mergeCell ref="A15:B15"/>
    <mergeCell ref="D34:E34"/>
    <mergeCell ref="D26:E26"/>
    <mergeCell ref="F26:G26"/>
    <mergeCell ref="D25:E25"/>
    <mergeCell ref="D27:E27"/>
    <mergeCell ref="D29:E29"/>
    <mergeCell ref="D30:E30"/>
    <mergeCell ref="D28:E28"/>
    <mergeCell ref="F28:G28"/>
    <mergeCell ref="D38:E38"/>
    <mergeCell ref="D39:E39"/>
    <mergeCell ref="F25:G25"/>
    <mergeCell ref="F27:G27"/>
    <mergeCell ref="F29:G29"/>
    <mergeCell ref="F30:G30"/>
    <mergeCell ref="D31:E31"/>
    <mergeCell ref="D32:E32"/>
    <mergeCell ref="D33:E33"/>
    <mergeCell ref="D36:E36"/>
    <mergeCell ref="B39:C39"/>
    <mergeCell ref="F38:G38"/>
    <mergeCell ref="F39:G39"/>
    <mergeCell ref="F31:G31"/>
    <mergeCell ref="F33:G33"/>
    <mergeCell ref="F34:G34"/>
    <mergeCell ref="F35:G35"/>
    <mergeCell ref="F36:G36"/>
    <mergeCell ref="F37:G37"/>
    <mergeCell ref="D37:E37"/>
  </mergeCells>
  <conditionalFormatting sqref="C30:C38 C27">
    <cfRule type="expression" priority="7" dxfId="109" stopIfTrue="1">
      <formula>$J27=1</formula>
    </cfRule>
    <cfRule type="expression" priority="8" dxfId="110" stopIfTrue="1">
      <formula>$K27=2</formula>
    </cfRule>
    <cfRule type="expression" priority="9" dxfId="111" stopIfTrue="1">
      <formula>$K27=3</formula>
    </cfRule>
  </conditionalFormatting>
  <conditionalFormatting sqref="C29">
    <cfRule type="expression" priority="13" dxfId="109" stopIfTrue="1">
      <formula>$J28=1</formula>
    </cfRule>
    <cfRule type="expression" priority="14" dxfId="110" stopIfTrue="1">
      <formula>$K28=2</formula>
    </cfRule>
    <cfRule type="expression" priority="15" dxfId="111" stopIfTrue="1">
      <formula>$K28=3</formula>
    </cfRule>
  </conditionalFormatting>
  <conditionalFormatting sqref="C28">
    <cfRule type="expression" priority="4" dxfId="109" stopIfTrue="1">
      <formula>$J28=1</formula>
    </cfRule>
    <cfRule type="expression" priority="5" dxfId="110" stopIfTrue="1">
      <formula>$K28=2</formula>
    </cfRule>
    <cfRule type="expression" priority="6" dxfId="111" stopIfTrue="1">
      <formula>$K28=3</formula>
    </cfRule>
  </conditionalFormatting>
  <conditionalFormatting sqref="C26">
    <cfRule type="expression" priority="1" dxfId="109" stopIfTrue="1">
      <formula>$J26=1</formula>
    </cfRule>
    <cfRule type="expression" priority="2" dxfId="110" stopIfTrue="1">
      <formula>$K26=2</formula>
    </cfRule>
    <cfRule type="expression" priority="3" dxfId="111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MARCIO TRENTIN</cp:lastModifiedBy>
  <cp:lastPrinted>2018-06-15T14:38:21Z</cp:lastPrinted>
  <dcterms:created xsi:type="dcterms:W3CDTF">2006-10-10T19:21:35Z</dcterms:created>
  <dcterms:modified xsi:type="dcterms:W3CDTF">2018-06-18T19:02:03Z</dcterms:modified>
  <cp:category/>
  <cp:version/>
  <cp:contentType/>
  <cp:contentStatus/>
</cp:coreProperties>
</file>