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0"/>
  </bookViews>
  <sheets>
    <sheet name="P. BDI" sheetId="1" r:id="rId1"/>
    <sheet name="QCI" sheetId="2" r:id="rId2"/>
    <sheet name="Orçamento" sheetId="3" r:id="rId3"/>
    <sheet name="CRONO MORADIAS 08-08-07" sheetId="4" state="hidden" r:id="rId4"/>
    <sheet name="CRON" sheetId="5" r:id="rId5"/>
    <sheet name="COMPOSIÇÕES" sheetId="6" state="hidden" r:id="rId6"/>
  </sheets>
  <definedNames>
    <definedName name="_xlnm.Print_Area" localSheetId="4">'CRON'!$A$2:$P$58</definedName>
    <definedName name="_xlnm.Print_Area" localSheetId="3">'CRONO MORADIAS 08-08-07'!$A$1:$P$36</definedName>
    <definedName name="_xlnm.Print_Area" localSheetId="2">'Orçamento'!$A$2:$H$144</definedName>
    <definedName name="_xlnm.Print_Area" localSheetId="0">'P. BDI'!$A$2:$F$52</definedName>
    <definedName name="_xlnm.Print_Area" localSheetId="1">'QCI'!$A$2:$H$63</definedName>
  </definedNames>
  <calcPr fullCalcOnLoad="1"/>
</workbook>
</file>

<file path=xl/sharedStrings.xml><?xml version="1.0" encoding="utf-8"?>
<sst xmlns="http://schemas.openxmlformats.org/spreadsheetml/2006/main" count="438" uniqueCount="272">
  <si>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</si>
  <si>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</si>
  <si>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</si>
  <si>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</si>
  <si>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</si>
  <si>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</si>
  <si>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</si>
  <si>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</si>
  <si>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</si>
  <si>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</si>
  <si>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</si>
  <si>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</si>
  <si>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</si>
  <si>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>M2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</si>
  <si>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</si>
  <si>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</si>
  <si>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</si>
  <si>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</si>
  <si>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</si>
  <si>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</si>
  <si>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</si>
  <si>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</si>
  <si>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</si>
  <si>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</si>
  <si>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</si>
  <si>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</si>
  <si>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</si>
  <si>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</si>
  <si>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</si>
  <si>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</si>
  <si>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</si>
  <si>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</si>
  <si>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</si>
  <si>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</si>
  <si>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</si>
  <si>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</si>
  <si>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</si>
  <si>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</si>
  <si>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</si>
  <si>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</si>
  <si>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</si>
  <si>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</si>
  <si>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</si>
  <si>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</si>
  <si>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</si>
  <si>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</si>
  <si>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</si>
  <si>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</si>
  <si>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</si>
  <si>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</si>
  <si>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</si>
  <si>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</si>
  <si>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</si>
  <si>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</si>
  <si>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</si>
  <si>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</si>
  <si>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</si>
  <si>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</si>
  <si>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</si>
  <si>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</si>
  <si>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</si>
  <si>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</si>
  <si>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</si>
  <si>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</si>
  <si>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</si>
  <si>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</si>
  <si>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</si>
  <si>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</si>
  <si>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</si>
  <si>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</si>
  <si>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</si>
  <si>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</si>
  <si>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M3</t>
  </si>
  <si>
    <t>ITEM .</t>
  </si>
  <si>
    <t>REF.</t>
  </si>
  <si>
    <t>DESCRIÇÃO</t>
  </si>
  <si>
    <t>QUANT.</t>
  </si>
  <si>
    <t>VALOR UNIT C/ BDI</t>
  </si>
  <si>
    <t>TOTAL</t>
  </si>
  <si>
    <t>VALOR TOTAL DA OBRA :</t>
  </si>
  <si>
    <t>VALOR TOTAL DA OBRA COM BDI: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</si>
  <si>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</si>
  <si>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</si>
  <si>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</si>
  <si>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</si>
  <si>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</si>
  <si>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</si>
  <si>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</si>
  <si>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</si>
  <si>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</si>
  <si>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</si>
  <si>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</si>
  <si>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</si>
  <si>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</si>
  <si>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</si>
  <si>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</si>
  <si>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</si>
  <si>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</si>
  <si>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</si>
  <si>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</si>
  <si>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</si>
  <si>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</si>
  <si>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</si>
  <si>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</si>
  <si>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</si>
  <si>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</si>
  <si>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</si>
  <si>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</si>
  <si>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</si>
  <si>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</si>
  <si>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</si>
  <si>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</si>
  <si>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</si>
  <si>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</si>
  <si>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</si>
  <si>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</si>
  <si>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</si>
  <si>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</si>
  <si>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Carimbo e Assinatura CREA/CAU:</t>
  </si>
  <si>
    <t>Área:</t>
  </si>
  <si>
    <t>N° Contrato de Repasse:</t>
  </si>
  <si>
    <t xml:space="preserve"> e que esta é a mais adequada para a Administração Pública.</t>
  </si>
  <si>
    <t>Declaro que a alternativa adotada é COM Desoneração</t>
  </si>
  <si>
    <t xml:space="preserve">BDI Adotado </t>
  </si>
  <si>
    <t>UND.</t>
  </si>
  <si>
    <t xml:space="preserve">VALOR UNIT </t>
  </si>
  <si>
    <t>Recursos proprios</t>
  </si>
  <si>
    <t>KG</t>
  </si>
  <si>
    <t>74209/1</t>
  </si>
  <si>
    <t>M</t>
  </si>
  <si>
    <t xml:space="preserve">M3    </t>
  </si>
  <si>
    <t>Área da obra:</t>
  </si>
  <si>
    <t>Área da Ampli:</t>
  </si>
  <si>
    <t>Responsável Legal:</t>
  </si>
  <si>
    <t>1.1</t>
  </si>
  <si>
    <t>1.2</t>
  </si>
  <si>
    <t>SINAPI-I</t>
  </si>
  <si>
    <t>SINAPI</t>
  </si>
  <si>
    <t>88316</t>
  </si>
  <si>
    <t xml:space="preserve">UN    </t>
  </si>
  <si>
    <t>H</t>
  </si>
  <si>
    <t>SERVENTE COM ENCARGOS COMPLEMENTARES</t>
  </si>
  <si>
    <t>CHP</t>
  </si>
  <si>
    <t xml:space="preserve">M     </t>
  </si>
  <si>
    <t>88309</t>
  </si>
  <si>
    <t>PEDREIRO COM ENCARGOS COMPLEMENTARES</t>
  </si>
  <si>
    <t>SERVIÇOS PRELIMINARES</t>
  </si>
  <si>
    <t>FUNDAÇÕES</t>
  </si>
  <si>
    <t>ARMAÇÃO DE UMA ESTRUTURA CONVENCIONAL DE CONCRETO ARMADO EM UM EDIFÍCIO DE MÚLTIPLOS PAVIMENTOS UTILIZANDO AÇO CA-60 DE 5,0 MM - MONTAGEM. AF_12/2015</t>
  </si>
  <si>
    <t>ARMAÇÃO DE UMA ESTRUTURA CONVENCIONAL DE CONCRETO ARMADO EM UM EDIFÍCIO DE MÚLTIPLOS PAVIMENTOS UTILIZANDO AÇO CA-50 DE 8,0 MM - MONTAGEM. AF_12/2015</t>
  </si>
  <si>
    <t>ARMAÇÃO DE UMA ESTRUTURA CONVENCIONAL DE CONCRETO ARMADO EM UM EDIFÍCIO DE MÚLTIPLOS PAVIMENTOS UTILIZANDO AÇO CA-50 DE 10,0 MM - MONTAGEM. AF_12/2015</t>
  </si>
  <si>
    <t>FABRICAÇÃO, MONTAGEM E DESMONTAGEM DE FÔRMA PARA ESTRUTURAS DE CONCRETO, EM MADEIRA SERRADA, E=25 MM, 4 UTILIZAÇÕES. AF_06/2017</t>
  </si>
  <si>
    <t>CONCRETAGEM DE ESTRUTURAS EM EDIFICAÇÕES UNIFAMILIARES, COM CONCRETO USINADO BOMBEÁVEL FCK 20 MPA - LANÇAMENTO, ADENSAMENTO E ACABAMENTO. AF_06/2015</t>
  </si>
  <si>
    <t>ARMAÇÃO DE PILAR OU VIGA DE UMA ESTRUTURA CONVENCIONAL DE CONCRETO ARMADO EM UM EDIFÍCIO DE MÚLTIPLOS PAVIMENTOS UTILIZANDO AÇO CA-50 DE 12,5 MM - MONTAGEM. AF_12/2015</t>
  </si>
  <si>
    <t xml:space="preserve">ESCORAMENTO DE LAJE, TIPO PONTALETEAMENTO DE EUCALIPTO </t>
  </si>
  <si>
    <t>CHAPISCO APLICADO EM ALVENARIAS E ESTRUTURAS DE CONCRETO INTERNAS, COM COLHER DE PEDREIRO.  ARGAMASSA TRAÇO 1:3 COM PREPARO EM BETONEIRA 400L. AF_06/2014</t>
  </si>
  <si>
    <t>ALVENARIAS E REVESTIMENTO ARGAMASSADOS</t>
  </si>
  <si>
    <t>REVESTIMENTO CERÂMICOS</t>
  </si>
  <si>
    <t>REVESTIMENTO CERÂMICO PARA PAREDES INTERNAS COM PLACAS TIPO ESMALTADA EXTRA DE DIMENSÕES 20X20 CM. AF_06/2014</t>
  </si>
  <si>
    <t>PISO DE CONCRETO</t>
  </si>
  <si>
    <t>REGULÇARIZAÇÃO, PREPARO E COMPACTAÇÃO DE SOLO INTERNO DE EDIFICAÇÕES</t>
  </si>
  <si>
    <t>ALVENARIAS, REVESTIMENTO ARGAMASSADOS E CERÂMICOS</t>
  </si>
  <si>
    <t>COBERTURA</t>
  </si>
  <si>
    <t>TELHAMENTO COM TELHA ONDULADA DE FIBROCIMENTO E = 6 MM, COM RECOBRIMENTO LATERAL DE 1/4 DE ONDA PARA TELHADO COM INCLINAÇÃO MAIOR QUE 10°, COM ATÉ 2 ÁGUAS, INCLUSO IÇAMENTO. AF_06/2016</t>
  </si>
  <si>
    <t>UN</t>
  </si>
  <si>
    <t>HIDROSANITARIO</t>
  </si>
  <si>
    <t>FORNECIMENTO E  INSTALAÇÃO DE TUBOS DE PVC, SOLDÁVEL, ÁGUA FRIA, DN 25 MM (INSTALADO EM RAMAL, SUB-RAMAL, RAMAL DE DISTRIBUIÇÃO OU PRUMADA), INCLUSIVE CONEXÕES, CORTES E FIXAÇÕES, PARA PRÉDIOS. AF_10/2015</t>
  </si>
  <si>
    <t>FORNECIMENTO E INSTALAÇÃO DE TUBOS DE PVC, SOLDÁVEL, ÁGUA FRIA, DN 50 MM (INSTALADO EM PRUMADA), INCLUSIVE CONEXÕES, CORTES E FIXAÇÕES, PARA PRÉDIOS. AF_10/2015</t>
  </si>
  <si>
    <t xml:space="preserve">TUBULAÇÃO </t>
  </si>
  <si>
    <t>PEÇAS</t>
  </si>
  <si>
    <t>73933/1</t>
  </si>
  <si>
    <t>PORTA DE FERRO, DE ABRIR, TIPO CHAPA TRABALHADA, COM GUARNICOES E FECHADURA. COMPLETA</t>
  </si>
  <si>
    <t>ESQUADRIAS E DIVISORIAS</t>
  </si>
  <si>
    <t>HIDRAULICA</t>
  </si>
  <si>
    <t>LOUÇAS, METAIS E ACESSORIOS</t>
  </si>
  <si>
    <t>ESGOTO</t>
  </si>
  <si>
    <t>FORNECIMENTO E INSTALAÇÃO DE TUBO DE PVC, SÉRIE NORMAL, ESGOTO PREDIAL, DN 40 MM (INSTALADO EM RAMAL DE DESCARGA OU RAMAL DE ESGOTO SANITÁRIO), INCLUSIVE CONEXÕES, CORTES E FIXAÇÕES, PARA PRÉDIOS. AF_10/2015</t>
  </si>
  <si>
    <t>FORNECIMENTO E INST. TUBO PVC, SÉRIE N, ESGOTO PREDIAL, 100 MM (INST. RAMAL DESCARGA, RAMAL DE ESG. SANIT., PRUMADA ESG. SANIT., VENTILAÇÃO OU SUB-COLETOR AÉREO), INCL. CONEXÕES E CORTES, FIXAÇÕES, P/ PRÉDIOS. AF_10/2015</t>
  </si>
  <si>
    <t>RALO SIFONADA, PVC, DN 100 X 100 X 50 MM, GRELHA CROMADA, JUNTA ELÁSTICA, FORNECIDA E INSTALADA . AF_12/2014</t>
  </si>
  <si>
    <t xml:space="preserve">CAIXA DE PASSAGEM </t>
  </si>
  <si>
    <t>FORNECIMENTO E  INSTALAÇÃO DE TUBO DE PVC, SÉRIE NORMAL, ESGOTO PREDIAL, DN 50 MM (INSTALADO EM RAMAL DE DESCARGA OU RAMAL DE ESGOTO SANITÁRIO), INCLUSIVE CONEXÕES, CORTES E FIXAÇÕES PARA, PRÉDIOS. AF_10/2015</t>
  </si>
  <si>
    <t>ELÉTRICO</t>
  </si>
  <si>
    <t>CABO DE COBRE FLEXÍVEL ISOLADO, 1,5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</si>
  <si>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</si>
  <si>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0,6/1,0 KV, PARA CIRCUITOS TERMINAIS - FORNECIMENTO E INSTALAÇÃO. AF_12/2015</t>
  </si>
  <si>
    <t>ELETRODUTO FLEXÍVEL CORRUGADO, PVC, DN 32 MM (1"), PARA CIRCUITOS TERMINAIS - FORNECIMENTO E INSTALAÇÃO. AF_12/2015</t>
  </si>
  <si>
    <t>ELETRODUTO FLEXÍVEL CORRUGADO, PVC, DN 25 MM (3/4"), PARA CIRCUITOS TERMINAIS - FORNECIMENTO E INSTALAÇÃO. AF_12/2015</t>
  </si>
  <si>
    <t>TOMADA DE EMBUTIR (1 MÓDULO), 2P+T 20 A, INCLUINDO SUPORTE E PLACA - FORNECIMENTO E INSTALAÇÃO. AF_12/2015</t>
  </si>
  <si>
    <t>LUMINÁRIA ARANDELA PARA 1 LÂMPADA LED - FORNECIMENTO E INSTALAÇÃO. AF_11/2017</t>
  </si>
  <si>
    <t>LUMINÁRIA TIPO CALHA, DE SOBREPOR, COM 2 LÂMPADAS TUBULARES DE 36 W - FORNECIMENTO E INSTALAÇÃO. AF_11/2017</t>
  </si>
  <si>
    <t>DISJUNTOR MONOPOLAR TIPO DIN, CORRENTE NOMINAL DE 10A - FORNECIMENTO E INSTALAÇÃO. AF_04/2016</t>
  </si>
  <si>
    <t>DISJUNTOR MONOPOLAR TIPO DIN, CORRENTE NOMINAL DE 20A - FORNECIMENTO E INSTALAÇÃO. AF_04/2016</t>
  </si>
  <si>
    <t>DISJUNTOR BIPOLAR TIPO DIN, CORRENTE NOMINAL DE 32A - FORNECIMENTO E INSTALAÇÃO. AF_04/2016</t>
  </si>
  <si>
    <t>VERGA MOLDADA IN LOCO EM CONCRETO PARA PORTAS COM MAIS DE 1,5 M DE VÃO ARMADO. AF_03/2016</t>
  </si>
  <si>
    <t>LASTRO DE PEDRA BRITADA N. 1 (9,5 a 19 MM) COM ESPALHAMENTO E=5,0CM</t>
  </si>
  <si>
    <t xml:space="preserve">EXECUÇÃO DE PISO DE CONCRETO COM CONCRETO MOLDADO IN LOCO, USINADO, ACABAMENTO CONVENCIONAL DESEMPENADO, NÃO ARMADO, E= 6,0CM. AF_07/2016 </t>
  </si>
  <si>
    <t>FORRO DE PVC, LISO OU FRISADO, INCLUSIVE ESTRUTURA DE FIXAÇÃO, RODA FORRO E VISTAS. AF_05/2017_P</t>
  </si>
  <si>
    <t>APLICAÇÃO DE FUNDO SELADOR ACRÍLICO EM PAREDES, UMA DEMÃO. AF_06/2014</t>
  </si>
  <si>
    <t>APLICAÇÃO MANUAL DE PINTURA COM TINTA TEXTURIZADA ACRÍLICA EM PAREDES EXTERNAS DE CASAS, DUAS CORES. AF_06/2014</t>
  </si>
  <si>
    <t>APLICAÇÃO E LIXAMENTO DE MASSA LÁTEX EM PAREDES, UMA DEMÃO. AF_06/2014</t>
  </si>
  <si>
    <t>APLICAÇÃO MANUAL DE TINTA LÁTEX ACRÍLICA EM PANOS COM PRESENÇA DE VÃOS DE EDIFÍCIOS DE MÚLTIPLOS PAVIMENTOS, DUAS DEMÃOS. AF_11/2016</t>
  </si>
  <si>
    <t>ESCAVAÇÃO MANUAL, COM PREVISÃO DE FÔRMA. AF_06/2017</t>
  </si>
  <si>
    <t xml:space="preserve">ESTRUTURAS DE CONCRETO ARMADO </t>
  </si>
  <si>
    <t>EXECUÇÃO DE PASSEIO EM PISO INTERTRAVADO, COM BLOCO RETANGULAR COLORIDO DE 20 X 10 CM, ESPESSURA 6 CM. AF_12/2015</t>
  </si>
  <si>
    <t>Parque de Exposições</t>
  </si>
  <si>
    <t>4417</t>
  </si>
  <si>
    <t>SARRAFO DE MADEIRA NAO APARELHADA *2,5 X 7* CM, MACARANDUBA, ANGELIM OU EQUIVALENTE DA REGIAO</t>
  </si>
  <si>
    <t>4433</t>
  </si>
  <si>
    <t>PECA DE MADEIRA NAO APARELHADA *7,5 X 7,5* CM (3 X 3 ") MACARANDUBA, ANGELIM OU EQUIVALENTE DA REGIAO</t>
  </si>
  <si>
    <t>5068</t>
  </si>
  <si>
    <t>PREGO DE ACO POLIDO COM CABECA 17 X 21 (2 X 11)</t>
  </si>
  <si>
    <t xml:space="preserve">KG    </t>
  </si>
  <si>
    <t>88239</t>
  </si>
  <si>
    <t>AJUDANTE DE CARPINTEIRO COM ENCARGOS COMPLEMENTARES</t>
  </si>
  <si>
    <t>88262</t>
  </si>
  <si>
    <t>CARPINTEIRO DE FORMAS COM ENCARGOS COMPLEMENTARES</t>
  </si>
  <si>
    <t>91692</t>
  </si>
  <si>
    <t>SERRA CIRCULAR DE BANCADA COM MOTOR ELÉTRICO POTÊNCIA DE 5HP, COM COIFA PARA DISCO 10" - CHP DIURNO. AF_08/2015</t>
  </si>
  <si>
    <t xml:space="preserve">LOCACAO CONVENCIONAL DE OBRA, UTILIZANDO GABARITO DE TÁBUAS CORRIDAS PONTALETADAS A CADA 2,00M </t>
  </si>
  <si>
    <t>COMP 01</t>
  </si>
  <si>
    <t>COMP 02</t>
  </si>
  <si>
    <t>38783</t>
  </si>
  <si>
    <t>BLOCO CERAMICO DE VEDACAO COM FUROS NA HORIZONTAL, 11,5 X 19 X 19 CM - 4,5 MPA (NBR 15270)</t>
  </si>
  <si>
    <t>87292</t>
  </si>
  <si>
    <t>ARGAMASSA TRAÇO 1:2:8 (CIMENTO, CAL E AREIA MÉDIA) PARA EMBOÇO/MASSA ÚNICA/ASSENTAMENTO DE ALVENARIA DE VEDAÇÃO, PREPARO MECÂNICO COM BETONEIRA 400 L. AF_06/2014</t>
  </si>
  <si>
    <t>ALVENARIA DE VEDAÇÃO DE BLOCOS CERÂMICOS FURADOS NA HORIZONTAL DE 11,5X19X19CM (ESPESSURA 11,5M) DE PAREDES E ARGAMASSA DE ASSENTAMENTO COM PREPARO EM BETONEIRA.</t>
  </si>
  <si>
    <t>EMBOÇO, PARA RECEBIMENTO DE CERÂMICA OU PINTURA, EM ARGAMASSA TRAÇO 1:2:8, PREPARO MECÂNICO COM BETONEIRA 400L, APLICADO MANUALMENTE EM FACES INTERNAS OU EXTERNAS DE PAREDES, COM EXECUÇÃO DE TALISCAS. AF_06/2014</t>
  </si>
  <si>
    <t>FABRICAÇÃO E INSTALAÇÃO DE ESTRUTURA DE MADEIRA PARA TELHADOS COM ATÉ 2 ÁGUAS E PARA TELHA CERÂMICA, CONCRETO OU FIBROCIMENTO, INCLUSO TRANSPORTE VERTICAL. AF_12/2015</t>
  </si>
  <si>
    <t>87251</t>
  </si>
  <si>
    <t>REVESTIMENTO CERÂMICO PARA PISO COM PLACAS TIPO ESMALTADA EXTRA DE DIMENSÕES 45X45 CM APLICADA EM AMBIENTES DE ÁREA MAIOR QUE 10 M2. AF_06/2014</t>
  </si>
  <si>
    <t>74106/1</t>
  </si>
  <si>
    <t>IMPERMEABILIZACAO DE ESTRUTURAS ENTERRADAS, COM TINTA ASFALTICA, DUAS DEMAOS.</t>
  </si>
  <si>
    <t xml:space="preserve">PLACA DE OBRA EM CHAPA DE ACO GALVANIZADO (1,25X2,00 M) INCLUSIVE MADEIRAMENTO PARA ESTRUURAS E SUPORTES </t>
  </si>
  <si>
    <t>JANELA DE ALUMÍNIO E VIDRO , 4 FOLHAS, FIXAÇÃO COM PARAFUSO SOBRE CONTRAMARCO DE ALUMINEO, COM VIDROS TEMPERADO 6MM, COM ALETAS DE ABERTURA GRADUADA. AF_07/2016</t>
  </si>
  <si>
    <t>3322</t>
  </si>
  <si>
    <t>GRAMA ESMERALDA OU SAO CARLOS OU CURITIBANA, EM PLACAS, SEM PLANTIO</t>
  </si>
  <si>
    <t>25951</t>
  </si>
  <si>
    <t>FERTILIZANTE NPK - 10:10:10</t>
  </si>
  <si>
    <t>25963</t>
  </si>
  <si>
    <t>CALCARIO DOLOMITICO A (POSTO PEDREIRA/FORNECEDOR, SEM FRETE)</t>
  </si>
  <si>
    <t>38125</t>
  </si>
  <si>
    <t>FERTILIZANTE ORGANICO COMPOSTO, CLASSE A</t>
  </si>
  <si>
    <t>88441</t>
  </si>
  <si>
    <t>JARDINEIRO COM ENCARGOS COMPLEMENTARES</t>
  </si>
  <si>
    <t xml:space="preserve">M2    </t>
  </si>
  <si>
    <t>COMP 03</t>
  </si>
  <si>
    <t xml:space="preserve">PLANTIO DE GRAMA SAO CARLOS EM LEIVAS INCLUSIVE FERTILIZANTE E CALCARIO </t>
  </si>
  <si>
    <t>SINAPI ABRIL 2019</t>
  </si>
  <si>
    <t>PINTURA</t>
  </si>
  <si>
    <t xml:space="preserve">URBANIZAÇÃO </t>
  </si>
  <si>
    <t xml:space="preserve">chuveiros e reservatorio d'agua </t>
  </si>
  <si>
    <t>ARMAÇÃO DE PILAR OU VIGA DE UMA ESTRUTURA CONVENCIONAL DE CONCRETO ARMADO EM UM EDIFÍCIO DE MÚLTIPLOS PAVIMENTOS UTILIZANDO AÇO CA-50 DE 6,3 MM - MONTAGEM. AF_12/2015</t>
  </si>
  <si>
    <t>RUFO EXTERNO/INTERNO DE CHAPA DE ACO GALVANIZADA NUM 26, CORTE 33 CM</t>
  </si>
  <si>
    <t>REGISTRO DE PRESSÃO BRUTO, LATÃO, ROSCÁVEL, 3/4", COM ACABAMENTO E CANOPLA CROMADOS. FORNECIDO E INSTALADO EM RAMAL DE ÁGUA. AF_12/2014</t>
  </si>
  <si>
    <t>REGISTRO DE ESFERA, PVC, SOLDÁVEL, DN  50 MM, INSTALADO EM RESERVAÇÃO DE ÁGUA DE EDIFICAÇÃO QUE POSSUA RESERVATÓRIO DE FIBRA/FIBROCIMENTO   FORNECIMENTO E INSTALAÇÃO. AF_06/2016</t>
  </si>
  <si>
    <t>CAIXA D'AGUA FIBRA DE VIDRO PARA 2000 LITROS, COM TAMPA</t>
  </si>
  <si>
    <t>TORNEIRA DE BOIA CONVENCIONAL PARA CAIXA D'AGUA, 3/4", COM HASTE E TORNEIRA METALICOS E BALAO PLASTICO</t>
  </si>
  <si>
    <t>ADAPTADOR COM FLANGE E ANEL DE VEDAÇÃO, PVC, SOLDÁVEL, DN  25 MM X 3/4 , INSTALADO EM RESERVAÇÃO DE ÁGUA DE EDIFICAÇÃO QUE POSSUA RESERVATÓRIO DE FIBRA/FIBROCIMENTO   FORNECIMENTO E INSTALAÇÃO. AF_06/2016</t>
  </si>
  <si>
    <t>ADAPTADOR COM FLANGE E ANEL DE VEDAÇÃO, PVC, SOLDÁVEL, DN 50 MM X 1 1/2 , INSTALADO EM RESERVAÇÃO DE ÁGUA DE EDIFICAÇÃO QUE POSSUA RESERVATÓRIO DE FIBRA/FIBROCIMENTO   FORNECIMENTO E INSTALAÇÃO. AF_06/2016</t>
  </si>
  <si>
    <t>CHUVEIRO COMUM EM PLASTICO BRANCO, COM CANO, 3 TEMPERATURAS, 5500 W (110/220 V)</t>
  </si>
  <si>
    <t>LAVATÓRIO LOUÇA BRANCA COM COLUNA, *44 X 35,5* CM, PADRÃO POPULAR, INCLUSO SIFÃO FLEXÍVEL EM PVC, VÁLVULA E ENGATE FLEXÍVEL 30CM EM PLÁSTICO E COM TORNEIRA CROMADA DE PAREDE PADRÃO POPULAR - FORNECIMENTO E INSTALAÇÃO. AF_12/2013</t>
  </si>
  <si>
    <t>SABONETEIRA DE PAREDE EM METAL CROMADO, INCLUSO FIXAÇÃO. AF_10/2016</t>
  </si>
  <si>
    <t>CAIXA DE PASSAGEM EM ALVENARIA TIJOLO MACICO, REVESTIDA C/ ARGAMASSA DE CIMENTO E AREIA 1:3, SOBRE LASTRO DE CONCRETO 10CM E TAMPA DE CONCRETO ARMADO DIMENSOES INTERNAS 60X60 CM</t>
  </si>
  <si>
    <t>CABO DE COBRE FLEXÍVEL ISOLADO, 10 MM², ANTI-CHAMA 0,6/1,0 KV, PARA CIRCUITOS TERMINAIS - FORNECIMENTO E INSTALAÇÃO. AF_12/2015</t>
  </si>
  <si>
    <t>INTERRUPTOR SIMPLES (1 MÓDULO), 10A/250V, INCLUINDO SUPORTE E PLACA - FORNECIMENTO E INSTALAÇÃO. AF_12/2015</t>
  </si>
  <si>
    <t>DISJUNTOR BIPOLAR TIPO DIN, CORRENTE NOMINAL DE 50A - FORNECIMENTO E INSTALAÇÃO. AF_04/2016</t>
  </si>
  <si>
    <t>DISPOSITIVO DR, 2 POLOS, SENSIBILIDADE DE 30 MA, CORRENTE DE 25 A, TIPO AC</t>
  </si>
  <si>
    <t>QUADRO DE DISTRIBUICAO DE ENERGIA EM CHAPA DE ACO GALVANIZADO, PARA 12 DISJUNTORES TERMOMAGNETICOS MONOPOLARES, COM BARRAMENTO BIFÁSICO E NEUTRO - FORNECIMENTO E INSTALACAO</t>
  </si>
  <si>
    <t>CAIXA DE INSPEÇÃO PARA ATERRAMENTO, CIRCULAR, EM POLIETILENO, DIÂMETRO INTERNO = 0,3 M. AF_05/2018</t>
  </si>
  <si>
    <t>HASTE DE ATERRAMENTO 3/4 H=2,0 M - FORNECIMENTO E INSTALAÇÃO. AF_12/2017</t>
  </si>
  <si>
    <t>Lei Ordinaria 1052 de2002 Código Tributário,Tabela II item F) estimativa de percentual da base de cálculo para o ISS:</t>
  </si>
  <si>
    <t>Base de cálculo, respectiva alíquota do ISS:</t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</si>
</sst>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###,###,##0.00"/>
    <numFmt numFmtId="174" formatCode="_(* #,##0.000_);_(* \(#,##0.000\);_(* &quot;-&quot;??_);_(@_)"/>
    <numFmt numFmtId="175" formatCode="0.000%"/>
    <numFmt numFmtId="176" formatCode="_(* #,##0.0_);_(* \(#,##0.0\);_(* &quot;-&quot;??_);_(@_)"/>
    <numFmt numFmtId="177" formatCode="0.0000%"/>
    <numFmt numFmtId="178" formatCode="0.00000%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#,##0.000"/>
    <numFmt numFmtId="196" formatCode="#,##0.0000"/>
    <numFmt numFmtId="197" formatCode="###,###,##0.000"/>
    <numFmt numFmtId="198" formatCode="###,###,##0.0000"/>
    <numFmt numFmtId="199" formatCode="###,###,##0.00000"/>
    <numFmt numFmtId="200" formatCode="###,###,##0.000000"/>
    <numFmt numFmtId="201" formatCode="###,###,##0.0000000"/>
    <numFmt numFmtId="202" formatCode="###,###,##0.00000000"/>
    <numFmt numFmtId="203" formatCode="_(&quot;R$ &quot;* #,##0.0_);_(&quot;R$ &quot;* \(#,##0.0\);_(&quot;R$ &quot;* &quot;-&quot;??_);_(@_)"/>
    <numFmt numFmtId="204" formatCode="_(&quot;R$ &quot;* #,##0.000_);_(&quot;R$ &quot;* \(#,##0.000\);_(&quot;R$ &quot;* &quot;-&quot;??_);_(@_)"/>
    <numFmt numFmtId="205" formatCode="_(&quot;R$ &quot;* #,##0.0000_);_(&quot;R$ &quot;* \(#,##0.0000\);_(&quot;R$ &quot;* &quot;-&quot;??_);_(@_)"/>
    <numFmt numFmtId="206" formatCode="_(&quot;R$ &quot;* #,##0.00000_);_(&quot;R$ &quot;* \(#,##0.00000\);_(&quot;R$ &quot;* &quot;-&quot;??_);_(@_)"/>
    <numFmt numFmtId="207" formatCode="_(&quot;R$ &quot;* #,##0.000000_);_(&quot;R$ &quot;* \(#,##0.000000\);_(&quot;R$ &quot;* &quot;-&quot;??_);_(@_)"/>
    <numFmt numFmtId="208" formatCode="_(&quot;R$ &quot;* #,##0.0000000_);_(&quot;R$ &quot;* \(#,##0.0000000\);_(&quot;R$ &quot;* &quot;-&quot;??_);_(@_)"/>
    <numFmt numFmtId="209" formatCode="_(&quot;R$ &quot;* #,##0.00000000_);_(&quot;R$ &quot;* \(#,##0.00000000\);_(&quot;R$ &quot;* &quot;-&quot;??_);_(@_)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_(&quot;R$ &quot;* #,##0.000000000_);_(&quot;R$ &quot;* \(#,##0.000000000\);_(&quot;R$ &quot;* &quot;-&quot;??_);_(@_)"/>
    <numFmt numFmtId="216" formatCode="_(&quot;R$ &quot;* #,##0.0000000000_);_(&quot;R$ &quot;* \(#,##0.0000000000\);_(&quot;R$ &quot;* &quot;-&quot;??_);_(@_)"/>
    <numFmt numFmtId="217" formatCode="_(&quot;R$ &quot;* #,##0.00000000000_);_(&quot;R$ &quot;* \(#,##0.00000000000\);_(&quot;R$ &quot;* &quot;-&quot;??_);_(@_)"/>
    <numFmt numFmtId="218" formatCode="_(&quot;R$ &quot;* #,##0.000000000000_);_(&quot;R$ &quot;* \(#,##0.000000000000\);_(&quot;R$ &quot;* &quot;-&quot;??_);_(@_)"/>
    <numFmt numFmtId="219" formatCode="_(* #,##0_);_(* \(#,##0\);_(* &quot;-&quot;??_);_(@_)"/>
    <numFmt numFmtId="220" formatCode="_(* #,##0.00000_);_(* \(#,##0.00000\);_(* &quot;-&quot;?????_);_(@_)"/>
    <numFmt numFmtId="221" formatCode="#,##0.0"/>
    <numFmt numFmtId="222" formatCode="0.000000%"/>
    <numFmt numFmtId="223" formatCode="&quot;R$ &quot;#,##0.000_);[Red]\(&quot;R$ &quot;#,##0.000\)"/>
    <numFmt numFmtId="224" formatCode="&quot;R$ &quot;#,##0.0000_);[Red]\(&quot;R$ &quot;#,##0.0000\)"/>
    <numFmt numFmtId="225" formatCode="&quot;( &quot;0&quot; )&quot;"/>
    <numFmt numFmtId="226" formatCode="[$-416]dddd\,\ d&quot; de &quot;mmmm&quot; de &quot;yyyy"/>
    <numFmt numFmtId="227" formatCode="0.0"/>
  </numFmts>
  <fonts count="6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167" fontId="2" fillId="33" borderId="10" xfId="0" applyNumberFormat="1" applyFont="1" applyFill="1" applyBorder="1" applyAlignment="1">
      <alignment horizontal="left"/>
    </xf>
    <xf numFmtId="10" fontId="0" fillId="0" borderId="0" xfId="51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70" fontId="7" fillId="0" borderId="10" xfId="45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left"/>
    </xf>
    <xf numFmtId="167" fontId="7" fillId="34" borderId="10" xfId="0" applyNumberFormat="1" applyFont="1" applyFill="1" applyBorder="1" applyAlignment="1">
      <alignment horizontal="left"/>
    </xf>
    <xf numFmtId="10" fontId="7" fillId="34" borderId="10" xfId="51" applyNumberFormat="1" applyFont="1" applyFill="1" applyBorder="1" applyAlignment="1">
      <alignment horizontal="left"/>
    </xf>
    <xf numFmtId="167" fontId="7" fillId="0" borderId="10" xfId="0" applyNumberFormat="1" applyFont="1" applyFill="1" applyBorder="1" applyAlignment="1">
      <alignment horizontal="left"/>
    </xf>
    <xf numFmtId="167" fontId="7" fillId="0" borderId="17" xfId="0" applyNumberFormat="1" applyFont="1" applyFill="1" applyBorder="1" applyAlignment="1">
      <alignment horizontal="left"/>
    </xf>
    <xf numFmtId="10" fontId="7" fillId="34" borderId="17" xfId="51" applyNumberFormat="1" applyFont="1" applyFill="1" applyBorder="1" applyAlignment="1">
      <alignment horizontal="left"/>
    </xf>
    <xf numFmtId="10" fontId="7" fillId="0" borderId="10" xfId="51" applyNumberFormat="1" applyFont="1" applyFill="1" applyBorder="1" applyAlignment="1">
      <alignment horizontal="left"/>
    </xf>
    <xf numFmtId="10" fontId="7" fillId="0" borderId="10" xfId="51" applyNumberFormat="1" applyFont="1" applyBorder="1" applyAlignment="1">
      <alignment horizontal="left"/>
    </xf>
    <xf numFmtId="10" fontId="7" fillId="0" borderId="17" xfId="51" applyNumberFormat="1" applyFont="1" applyBorder="1" applyAlignment="1">
      <alignment horizontal="left"/>
    </xf>
    <xf numFmtId="10" fontId="7" fillId="0" borderId="17" xfId="51" applyNumberFormat="1" applyFont="1" applyFill="1" applyBorder="1" applyAlignment="1">
      <alignment horizontal="left"/>
    </xf>
    <xf numFmtId="167" fontId="7" fillId="0" borderId="10" xfId="0" applyNumberFormat="1" applyFont="1" applyBorder="1" applyAlignment="1">
      <alignment horizontal="left"/>
    </xf>
    <xf numFmtId="167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7" fontId="7" fillId="33" borderId="10" xfId="0" applyNumberFormat="1" applyFont="1" applyFill="1" applyBorder="1" applyAlignment="1">
      <alignment horizontal="left"/>
    </xf>
    <xf numFmtId="10" fontId="7" fillId="33" borderId="10" xfId="51" applyNumberFormat="1" applyFont="1" applyFill="1" applyBorder="1" applyAlignment="1">
      <alignment horizontal="left"/>
    </xf>
    <xf numFmtId="10" fontId="7" fillId="33" borderId="17" xfId="51" applyNumberFormat="1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33" borderId="19" xfId="0" applyFont="1" applyFill="1" applyBorder="1" applyAlignment="1">
      <alignment horizontal="left"/>
    </xf>
    <xf numFmtId="167" fontId="7" fillId="33" borderId="19" xfId="0" applyNumberFormat="1" applyFont="1" applyFill="1" applyBorder="1" applyAlignment="1">
      <alignment horizontal="left"/>
    </xf>
    <xf numFmtId="10" fontId="7" fillId="33" borderId="19" xfId="51" applyNumberFormat="1" applyFont="1" applyFill="1" applyBorder="1" applyAlignment="1">
      <alignment horizontal="left"/>
    </xf>
    <xf numFmtId="167" fontId="6" fillId="33" borderId="19" xfId="0" applyNumberFormat="1" applyFont="1" applyFill="1" applyBorder="1" applyAlignment="1">
      <alignment horizontal="left"/>
    </xf>
    <xf numFmtId="10" fontId="6" fillId="33" borderId="19" xfId="51" applyNumberFormat="1" applyFont="1" applyFill="1" applyBorder="1" applyAlignment="1">
      <alignment horizontal="left"/>
    </xf>
    <xf numFmtId="10" fontId="6" fillId="33" borderId="20" xfId="51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7" fontId="7" fillId="35" borderId="10" xfId="0" applyNumberFormat="1" applyFont="1" applyFill="1" applyBorder="1" applyAlignment="1">
      <alignment/>
    </xf>
    <xf numFmtId="10" fontId="7" fillId="35" borderId="10" xfId="51" applyNumberFormat="1" applyFont="1" applyFill="1" applyBorder="1" applyAlignment="1">
      <alignment/>
    </xf>
    <xf numFmtId="10" fontId="7" fillId="35" borderId="17" xfId="51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/>
    </xf>
    <xf numFmtId="225" fontId="2" fillId="0" borderId="25" xfId="0" applyNumberFormat="1" applyFont="1" applyFill="1" applyBorder="1" applyAlignment="1" applyProtection="1">
      <alignment horizontal="right"/>
      <protection/>
    </xf>
    <xf numFmtId="0" fontId="2" fillId="0" borderId="25" xfId="0" applyNumberFormat="1" applyFont="1" applyFill="1" applyBorder="1" applyAlignment="1" applyProtection="1">
      <alignment horizontal="right"/>
      <protection/>
    </xf>
    <xf numFmtId="10" fontId="14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1" fontId="10" fillId="36" borderId="24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36" borderId="28" xfId="0" applyNumberFormat="1" applyFont="1" applyFill="1" applyBorder="1" applyAlignment="1" applyProtection="1">
      <alignment horizontal="right" vertical="top"/>
      <protection/>
    </xf>
    <xf numFmtId="10" fontId="0" fillId="0" borderId="29" xfId="0" applyNumberFormat="1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37" borderId="33" xfId="0" applyFont="1" applyFill="1" applyBorder="1" applyAlignment="1" applyProtection="1">
      <alignment horizontal="center" vertical="center" wrapText="1"/>
      <protection/>
    </xf>
    <xf numFmtId="0" fontId="10" fillId="37" borderId="34" xfId="0" applyFont="1" applyFill="1" applyBorder="1" applyAlignment="1" applyProtection="1">
      <alignment vertical="center"/>
      <protection/>
    </xf>
    <xf numFmtId="10" fontId="3" fillId="0" borderId="31" xfId="0" applyNumberFormat="1" applyFont="1" applyFill="1" applyBorder="1" applyAlignment="1" applyProtection="1">
      <alignment horizontal="center" vertical="center"/>
      <protection/>
    </xf>
    <xf numFmtId="10" fontId="3" fillId="0" borderId="35" xfId="0" applyNumberFormat="1" applyFont="1" applyFill="1" applyBorder="1" applyAlignment="1" applyProtection="1">
      <alignment horizontal="center" vertical="center"/>
      <protection/>
    </xf>
    <xf numFmtId="10" fontId="3" fillId="0" borderId="33" xfId="0" applyNumberFormat="1" applyFont="1" applyFill="1" applyBorder="1" applyAlignment="1" applyProtection="1">
      <alignment horizontal="center" vertical="center"/>
      <protection/>
    </xf>
    <xf numFmtId="10" fontId="3" fillId="0" borderId="36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37" xfId="0" applyNumberFormat="1" applyFont="1" applyFill="1" applyBorder="1" applyAlignment="1" applyProtection="1">
      <alignment horizontal="center" vertical="center"/>
      <protection/>
    </xf>
    <xf numFmtId="10" fontId="3" fillId="0" borderId="38" xfId="0" applyNumberFormat="1" applyFont="1" applyFill="1" applyBorder="1" applyAlignment="1" applyProtection="1">
      <alignment horizontal="center" vertical="center"/>
      <protection/>
    </xf>
    <xf numFmtId="10" fontId="3" fillId="0" borderId="39" xfId="0" applyNumberFormat="1" applyFont="1" applyFill="1" applyBorder="1" applyAlignment="1" applyProtection="1">
      <alignment horizontal="center" vertical="center"/>
      <protection/>
    </xf>
    <xf numFmtId="10" fontId="3" fillId="0" borderId="40" xfId="0" applyNumberFormat="1" applyFont="1" applyFill="1" applyBorder="1" applyAlignment="1" applyProtection="1">
      <alignment horizontal="center" vertical="center"/>
      <protection/>
    </xf>
    <xf numFmtId="10" fontId="10" fillId="36" borderId="4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10" fillId="0" borderId="10" xfId="0" applyNumberFormat="1" applyFont="1" applyFill="1" applyBorder="1" applyAlignment="1" applyProtection="1">
      <alignment horizontal="center" vertical="center"/>
      <protection/>
    </xf>
    <xf numFmtId="10" fontId="1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32" xfId="0" applyFont="1" applyBorder="1" applyAlignment="1" applyProtection="1">
      <alignment horizontal="left" wrapText="1"/>
      <protection/>
    </xf>
    <xf numFmtId="0" fontId="4" fillId="0" borderId="44" xfId="0" applyFont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/>
    </xf>
    <xf numFmtId="1" fontId="2" fillId="36" borderId="24" xfId="0" applyNumberFormat="1" applyFont="1" applyFill="1" applyBorder="1" applyAlignment="1" applyProtection="1">
      <alignment horizontal="left" vertical="center" wrapText="1"/>
      <protection locked="0"/>
    </xf>
    <xf numFmtId="14" fontId="2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left" wrapText="1"/>
      <protection/>
    </xf>
    <xf numFmtId="0" fontId="1" fillId="38" borderId="10" xfId="0" applyFont="1" applyFill="1" applyBorder="1" applyAlignment="1" applyProtection="1">
      <alignment horizontal="left" wrapText="1"/>
      <protection/>
    </xf>
    <xf numFmtId="0" fontId="4" fillId="0" borderId="44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10" fontId="2" fillId="36" borderId="33" xfId="51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10" fontId="2" fillId="36" borderId="46" xfId="51" applyNumberFormat="1" applyFont="1" applyFill="1" applyBorder="1" applyAlignment="1" applyProtection="1">
      <alignment horizontal="center" vertical="center"/>
      <protection locked="0"/>
    </xf>
    <xf numFmtId="10" fontId="14" fillId="39" borderId="47" xfId="0" applyNumberFormat="1" applyFont="1" applyFill="1" applyBorder="1" applyAlignment="1" applyProtection="1">
      <alignment horizontal="center" vertical="center"/>
      <protection locked="0"/>
    </xf>
    <xf numFmtId="10" fontId="10" fillId="36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14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2" fontId="11" fillId="0" borderId="0" xfId="0" applyNumberFormat="1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0" fontId="0" fillId="0" borderId="0" xfId="51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7" fillId="0" borderId="0" xfId="0" applyNumberFormat="1" applyFont="1" applyAlignment="1" applyProtection="1">
      <alignment horizontal="center" vertical="center"/>
      <protection/>
    </xf>
    <xf numFmtId="10" fontId="18" fillId="0" borderId="0" xfId="0" applyNumberFormat="1" applyFont="1" applyAlignment="1" applyProtection="1">
      <alignment horizontal="center" vertical="center"/>
      <protection/>
    </xf>
    <xf numFmtId="10" fontId="18" fillId="0" borderId="0" xfId="51" applyNumberFormat="1" applyFont="1" applyAlignment="1" applyProtection="1">
      <alignment horizontal="center" vertical="center"/>
      <protection/>
    </xf>
    <xf numFmtId="10" fontId="0" fillId="0" borderId="0" xfId="51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indent="4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indent="2"/>
      <protection/>
    </xf>
    <xf numFmtId="0" fontId="4" fillId="0" borderId="43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1" fontId="2" fillId="36" borderId="24" xfId="0" applyNumberFormat="1" applyFont="1" applyFill="1" applyBorder="1" applyAlignment="1" applyProtection="1">
      <alignment horizontal="left" vertical="center" wrapText="1"/>
      <protection/>
    </xf>
    <xf numFmtId="1" fontId="2" fillId="36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0" fontId="2" fillId="36" borderId="24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/>
      <protection/>
    </xf>
    <xf numFmtId="10" fontId="4" fillId="0" borderId="44" xfId="51" applyNumberFormat="1" applyFont="1" applyFill="1" applyBorder="1" applyAlignment="1" applyProtection="1">
      <alignment horizontal="center"/>
      <protection/>
    </xf>
    <xf numFmtId="173" fontId="4" fillId="0" borderId="44" xfId="0" applyNumberFormat="1" applyFont="1" applyFill="1" applyBorder="1" applyAlignment="1" applyProtection="1">
      <alignment horizontal="center"/>
      <protection/>
    </xf>
    <xf numFmtId="173" fontId="4" fillId="0" borderId="51" xfId="0" applyNumberFormat="1" applyFont="1" applyFill="1" applyBorder="1" applyAlignment="1" applyProtection="1">
      <alignment horizontal="right"/>
      <protection/>
    </xf>
    <xf numFmtId="0" fontId="4" fillId="0" borderId="36" xfId="0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 horizontal="center"/>
      <protection/>
    </xf>
    <xf numFmtId="10" fontId="4" fillId="0" borderId="24" xfId="51" applyNumberFormat="1" applyFont="1" applyFill="1" applyBorder="1" applyAlignment="1" applyProtection="1">
      <alignment horizontal="center"/>
      <protection/>
    </xf>
    <xf numFmtId="173" fontId="4" fillId="0" borderId="37" xfId="0" applyNumberFormat="1" applyFont="1" applyFill="1" applyBorder="1" applyAlignment="1" applyProtection="1">
      <alignment horizontal="right"/>
      <protection/>
    </xf>
    <xf numFmtId="0" fontId="4" fillId="0" borderId="52" xfId="0" applyFont="1" applyFill="1" applyBorder="1" applyAlignment="1" applyProtection="1">
      <alignment/>
      <protection/>
    </xf>
    <xf numFmtId="173" fontId="4" fillId="0" borderId="41" xfId="0" applyNumberFormat="1" applyFont="1" applyFill="1" applyBorder="1" applyAlignment="1" applyProtection="1">
      <alignment horizontal="right"/>
      <protection/>
    </xf>
    <xf numFmtId="173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73" fontId="1" fillId="38" borderId="10" xfId="0" applyNumberFormat="1" applyFont="1" applyFill="1" applyBorder="1" applyAlignment="1" applyProtection="1">
      <alignment/>
      <protection locked="0"/>
    </xf>
    <xf numFmtId="173" fontId="1" fillId="38" borderId="10" xfId="0" applyNumberFormat="1" applyFont="1" applyFill="1" applyBorder="1" applyAlignment="1" applyProtection="1">
      <alignment horizontal="right"/>
      <protection locked="0"/>
    </xf>
    <xf numFmtId="173" fontId="4" fillId="0" borderId="44" xfId="0" applyNumberFormat="1" applyFont="1" applyFill="1" applyBorder="1" applyAlignment="1" applyProtection="1">
      <alignment/>
      <protection locked="0"/>
    </xf>
    <xf numFmtId="173" fontId="4" fillId="0" borderId="44" xfId="0" applyNumberFormat="1" applyFont="1" applyFill="1" applyBorder="1" applyAlignment="1" applyProtection="1">
      <alignment horizontal="right"/>
      <protection locked="0"/>
    </xf>
    <xf numFmtId="173" fontId="4" fillId="0" borderId="44" xfId="0" applyNumberFormat="1" applyFont="1" applyFill="1" applyBorder="1" applyAlignment="1" applyProtection="1">
      <alignment horizontal="center"/>
      <protection locked="0"/>
    </xf>
    <xf numFmtId="173" fontId="4" fillId="0" borderId="45" xfId="0" applyNumberFormat="1" applyFont="1" applyFill="1" applyBorder="1" applyAlignment="1" applyProtection="1">
      <alignment horizontal="right"/>
      <protection locked="0"/>
    </xf>
    <xf numFmtId="173" fontId="4" fillId="0" borderId="24" xfId="0" applyNumberFormat="1" applyFont="1" applyFill="1" applyBorder="1" applyAlignment="1" applyProtection="1">
      <alignment/>
      <protection locked="0"/>
    </xf>
    <xf numFmtId="0" fontId="4" fillId="0" borderId="4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1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36" borderId="24" xfId="51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center"/>
      <protection/>
    </xf>
    <xf numFmtId="2" fontId="1" fillId="38" borderId="10" xfId="0" applyNumberFormat="1" applyFont="1" applyFill="1" applyBorder="1" applyAlignment="1" applyProtection="1">
      <alignment wrapText="1"/>
      <protection/>
    </xf>
    <xf numFmtId="0" fontId="1" fillId="38" borderId="10" xfId="0" applyFont="1" applyFill="1" applyBorder="1" applyAlignment="1" applyProtection="1">
      <alignment/>
      <protection/>
    </xf>
    <xf numFmtId="0" fontId="4" fillId="38" borderId="10" xfId="0" applyFont="1" applyFill="1" applyBorder="1" applyAlignment="1" applyProtection="1">
      <alignment/>
      <protection/>
    </xf>
    <xf numFmtId="173" fontId="1" fillId="38" borderId="10" xfId="0" applyNumberFormat="1" applyFont="1" applyFill="1" applyBorder="1" applyAlignment="1" applyProtection="1">
      <alignment/>
      <protection/>
    </xf>
    <xf numFmtId="173" fontId="1" fillId="38" borderId="10" xfId="0" applyNumberFormat="1" applyFont="1" applyFill="1" applyBorder="1" applyAlignment="1" applyProtection="1">
      <alignment horizontal="right"/>
      <protection/>
    </xf>
    <xf numFmtId="0" fontId="4" fillId="0" borderId="50" xfId="0" applyFont="1" applyFill="1" applyBorder="1" applyAlignment="1" applyProtection="1">
      <alignment/>
      <protection/>
    </xf>
    <xf numFmtId="0" fontId="4" fillId="0" borderId="44" xfId="0" applyFont="1" applyFill="1" applyBorder="1" applyAlignment="1" applyProtection="1">
      <alignment horizontal="left"/>
      <protection/>
    </xf>
    <xf numFmtId="0" fontId="4" fillId="0" borderId="44" xfId="0" applyFont="1" applyFill="1" applyBorder="1" applyAlignment="1" applyProtection="1">
      <alignment/>
      <protection/>
    </xf>
    <xf numFmtId="173" fontId="4" fillId="0" borderId="44" xfId="0" applyNumberFormat="1" applyFont="1" applyFill="1" applyBorder="1" applyAlignment="1" applyProtection="1">
      <alignment/>
      <protection/>
    </xf>
    <xf numFmtId="173" fontId="4" fillId="0" borderId="44" xfId="0" applyNumberFormat="1" applyFont="1" applyFill="1" applyBorder="1" applyAlignment="1" applyProtection="1">
      <alignment horizontal="right"/>
      <protection/>
    </xf>
    <xf numFmtId="0" fontId="4" fillId="0" borderId="44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173" fontId="4" fillId="0" borderId="51" xfId="0" applyNumberFormat="1" applyFont="1" applyFill="1" applyBorder="1" applyAlignment="1" applyProtection="1">
      <alignment horizontal="center"/>
      <protection/>
    </xf>
    <xf numFmtId="173" fontId="62" fillId="0" borderId="44" xfId="0" applyNumberFormat="1" applyFont="1" applyFill="1" applyBorder="1" applyAlignment="1" applyProtection="1">
      <alignment horizontal="right"/>
      <protection/>
    </xf>
    <xf numFmtId="0" fontId="4" fillId="0" borderId="45" xfId="0" applyFont="1" applyFill="1" applyBorder="1" applyAlignment="1" applyProtection="1">
      <alignment horizontal="left" vertical="center"/>
      <protection/>
    </xf>
    <xf numFmtId="0" fontId="4" fillId="0" borderId="45" xfId="0" applyFont="1" applyFill="1" applyBorder="1" applyAlignment="1" applyProtection="1">
      <alignment/>
      <protection/>
    </xf>
    <xf numFmtId="173" fontId="4" fillId="0" borderId="45" xfId="0" applyNumberFormat="1" applyFont="1" applyFill="1" applyBorder="1" applyAlignment="1" applyProtection="1">
      <alignment horizontal="right"/>
      <protection/>
    </xf>
    <xf numFmtId="173" fontId="4" fillId="0" borderId="53" xfId="0" applyNumberFormat="1" applyFont="1" applyFill="1" applyBorder="1" applyAlignment="1" applyProtection="1">
      <alignment horizontal="right"/>
      <protection/>
    </xf>
    <xf numFmtId="0" fontId="17" fillId="0" borderId="36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0" fontId="17" fillId="0" borderId="52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10" fontId="4" fillId="0" borderId="44" xfId="51" applyNumberFormat="1" applyFont="1" applyFill="1" applyBorder="1" applyAlignment="1" applyProtection="1">
      <alignment horizontal="center"/>
      <protection locked="0"/>
    </xf>
    <xf numFmtId="10" fontId="4" fillId="0" borderId="24" xfId="51" applyNumberFormat="1" applyFont="1" applyFill="1" applyBorder="1" applyAlignment="1" applyProtection="1">
      <alignment horizontal="center"/>
      <protection locked="0"/>
    </xf>
    <xf numFmtId="10" fontId="4" fillId="0" borderId="51" xfId="51" applyNumberFormat="1" applyFont="1" applyFill="1" applyBorder="1" applyAlignment="1" applyProtection="1">
      <alignment horizontal="center"/>
      <protection/>
    </xf>
    <xf numFmtId="10" fontId="4" fillId="0" borderId="37" xfId="51" applyNumberFormat="1" applyFont="1" applyFill="1" applyBorder="1" applyAlignment="1" applyProtection="1">
      <alignment horizontal="center"/>
      <protection/>
    </xf>
    <xf numFmtId="10" fontId="4" fillId="0" borderId="32" xfId="51" applyNumberFormat="1" applyFont="1" applyFill="1" applyBorder="1" applyAlignment="1" applyProtection="1">
      <alignment horizontal="center"/>
      <protection/>
    </xf>
    <xf numFmtId="10" fontId="4" fillId="0" borderId="41" xfId="51" applyNumberFormat="1" applyFont="1" applyFill="1" applyBorder="1" applyAlignment="1" applyProtection="1">
      <alignment horizontal="center"/>
      <protection/>
    </xf>
    <xf numFmtId="10" fontId="4" fillId="0" borderId="35" xfId="51" applyNumberFormat="1" applyFont="1" applyFill="1" applyBorder="1" applyAlignment="1" applyProtection="1">
      <alignment horizontal="center"/>
      <protection/>
    </xf>
    <xf numFmtId="10" fontId="4" fillId="0" borderId="33" xfId="51" applyNumberFormat="1" applyFont="1" applyFill="1" applyBorder="1" applyAlignment="1" applyProtection="1">
      <alignment horizontal="center"/>
      <protection/>
    </xf>
    <xf numFmtId="173" fontId="4" fillId="0" borderId="37" xfId="0" applyNumberFormat="1" applyFont="1" applyFill="1" applyBorder="1" applyAlignment="1" applyProtection="1">
      <alignment horizontal="center"/>
      <protection/>
    </xf>
    <xf numFmtId="173" fontId="4" fillId="0" borderId="39" xfId="0" applyNumberFormat="1" applyFont="1" applyFill="1" applyBorder="1" applyAlignment="1" applyProtection="1">
      <alignment horizontal="center"/>
      <protection/>
    </xf>
    <xf numFmtId="173" fontId="4" fillId="0" borderId="40" xfId="0" applyNumberFormat="1" applyFont="1" applyFill="1" applyBorder="1" applyAlignment="1" applyProtection="1">
      <alignment horizont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14" fontId="2" fillId="36" borderId="48" xfId="0" applyNumberFormat="1" applyFont="1" applyFill="1" applyBorder="1" applyAlignment="1" applyProtection="1">
      <alignment horizontal="center" vertical="center"/>
      <protection locked="0"/>
    </xf>
    <xf numFmtId="0" fontId="2" fillId="36" borderId="54" xfId="0" applyNumberFormat="1" applyFont="1" applyFill="1" applyBorder="1" applyAlignment="1" applyProtection="1">
      <alignment horizontal="center" vertical="center"/>
      <protection locked="0"/>
    </xf>
    <xf numFmtId="0" fontId="2" fillId="36" borderId="55" xfId="0" applyNumberFormat="1" applyFont="1" applyFill="1" applyBorder="1" applyAlignment="1" applyProtection="1">
      <alignment horizontal="center" vertical="center"/>
      <protection locked="0"/>
    </xf>
    <xf numFmtId="1" fontId="2" fillId="36" borderId="48" xfId="0" applyNumberFormat="1" applyFont="1" applyFill="1" applyBorder="1" applyAlignment="1" applyProtection="1">
      <alignment horizontal="center" vertical="center"/>
      <protection/>
    </xf>
    <xf numFmtId="1" fontId="2" fillId="36" borderId="54" xfId="0" applyNumberFormat="1" applyFont="1" applyFill="1" applyBorder="1" applyAlignment="1" applyProtection="1">
      <alignment horizontal="center" vertical="center"/>
      <protection/>
    </xf>
    <xf numFmtId="1" fontId="2" fillId="36" borderId="55" xfId="0" applyNumberFormat="1" applyFont="1" applyFill="1" applyBorder="1" applyAlignment="1" applyProtection="1">
      <alignment horizontal="center" vertical="center"/>
      <protection/>
    </xf>
    <xf numFmtId="0" fontId="14" fillId="0" borderId="56" xfId="0" applyFont="1" applyBorder="1" applyAlignment="1" applyProtection="1">
      <alignment vertical="center"/>
      <protection/>
    </xf>
    <xf numFmtId="0" fontId="14" fillId="0" borderId="57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2" fillId="0" borderId="58" xfId="0" applyNumberFormat="1" applyFont="1" applyBorder="1" applyAlignment="1" applyProtection="1">
      <alignment horizontal="distributed" vertical="top"/>
      <protection/>
    </xf>
    <xf numFmtId="0" fontId="2" fillId="0" borderId="59" xfId="0" applyFont="1" applyBorder="1" applyAlignment="1" applyProtection="1">
      <alignment horizontal="distributed" vertical="top"/>
      <protection/>
    </xf>
    <xf numFmtId="0" fontId="2" fillId="0" borderId="60" xfId="0" applyFont="1" applyBorder="1" applyAlignment="1" applyProtection="1">
      <alignment horizontal="distributed" vertical="top"/>
      <protection/>
    </xf>
    <xf numFmtId="0" fontId="10" fillId="37" borderId="61" xfId="0" applyFont="1" applyFill="1" applyBorder="1" applyAlignment="1" applyProtection="1">
      <alignment horizontal="center" vertical="center"/>
      <protection/>
    </xf>
    <xf numFmtId="0" fontId="10" fillId="37" borderId="34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10" fillId="37" borderId="62" xfId="0" applyFont="1" applyFill="1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0" fillId="0" borderId="60" xfId="0" applyBorder="1" applyAlignment="1" applyProtection="1">
      <alignment vertical="center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left" vertical="center" wrapText="1"/>
      <protection/>
    </xf>
    <xf numFmtId="0" fontId="0" fillId="0" borderId="39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1" fontId="2" fillId="36" borderId="48" xfId="0" applyNumberFormat="1" applyFont="1" applyFill="1" applyBorder="1" applyAlignment="1" applyProtection="1">
      <alignment horizontal="center" vertical="center"/>
      <protection locked="0"/>
    </xf>
    <xf numFmtId="1" fontId="2" fillId="36" borderId="54" xfId="0" applyNumberFormat="1" applyFont="1" applyFill="1" applyBorder="1" applyAlignment="1" applyProtection="1">
      <alignment horizontal="center" vertical="center"/>
      <protection locked="0"/>
    </xf>
    <xf numFmtId="1" fontId="2" fillId="36" borderId="55" xfId="0" applyNumberFormat="1" applyFont="1" applyFill="1" applyBorder="1" applyAlignment="1" applyProtection="1">
      <alignment horizontal="center" vertical="center"/>
      <protection locked="0"/>
    </xf>
    <xf numFmtId="1" fontId="2" fillId="36" borderId="48" xfId="0" applyNumberFormat="1" applyFont="1" applyFill="1" applyBorder="1" applyAlignment="1" applyProtection="1">
      <alignment horizontal="center" vertical="center" wrapText="1"/>
      <protection/>
    </xf>
    <xf numFmtId="1" fontId="2" fillId="36" borderId="54" xfId="0" applyNumberFormat="1" applyFont="1" applyFill="1" applyBorder="1" applyAlignment="1" applyProtection="1">
      <alignment horizontal="center" vertical="center" wrapText="1"/>
      <protection/>
    </xf>
    <xf numFmtId="1" fontId="2" fillId="36" borderId="55" xfId="0" applyNumberFormat="1" applyFont="1" applyFill="1" applyBorder="1" applyAlignment="1" applyProtection="1">
      <alignment horizontal="center" vertical="center" wrapText="1"/>
      <protection/>
    </xf>
    <xf numFmtId="10" fontId="2" fillId="0" borderId="58" xfId="0" applyNumberFormat="1" applyFont="1" applyBorder="1" applyAlignment="1" applyProtection="1">
      <alignment horizontal="center"/>
      <protection/>
    </xf>
    <xf numFmtId="10" fontId="2" fillId="0" borderId="59" xfId="0" applyNumberFormat="1" applyFont="1" applyBorder="1" applyAlignment="1" applyProtection="1">
      <alignment horizontal="center"/>
      <protection/>
    </xf>
    <xf numFmtId="10" fontId="2" fillId="0" borderId="60" xfId="0" applyNumberFormat="1" applyFont="1" applyBorder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 horizontal="right" vertical="center" wrapText="1"/>
      <protection/>
    </xf>
    <xf numFmtId="173" fontId="4" fillId="0" borderId="32" xfId="0" applyNumberFormat="1" applyFont="1" applyFill="1" applyBorder="1" applyAlignment="1" applyProtection="1">
      <alignment horizontal="center"/>
      <protection/>
    </xf>
    <xf numFmtId="173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173" fontId="4" fillId="0" borderId="24" xfId="0" applyNumberFormat="1" applyFont="1" applyFill="1" applyBorder="1" applyAlignment="1" applyProtection="1">
      <alignment horizontal="center"/>
      <protection/>
    </xf>
    <xf numFmtId="10" fontId="4" fillId="0" borderId="24" xfId="51" applyNumberFormat="1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10" fontId="21" fillId="34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44" xfId="0" applyNumberFormat="1" applyFont="1" applyFill="1" applyBorder="1" applyAlignment="1" applyProtection="1">
      <alignment horizontal="center"/>
      <protection/>
    </xf>
    <xf numFmtId="10" fontId="4" fillId="0" borderId="44" xfId="51" applyNumberFormat="1" applyFont="1" applyFill="1" applyBorder="1" applyAlignment="1" applyProtection="1">
      <alignment horizontal="center"/>
      <protection/>
    </xf>
    <xf numFmtId="170" fontId="2" fillId="36" borderId="37" xfId="45" applyFont="1" applyFill="1" applyBorder="1" applyAlignment="1" applyProtection="1">
      <alignment horizontal="right" vertical="center" wrapText="1"/>
      <protection/>
    </xf>
    <xf numFmtId="170" fontId="2" fillId="36" borderId="36" xfId="45" applyFont="1" applyFill="1" applyBorder="1" applyAlignment="1" applyProtection="1">
      <alignment horizontal="right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1" fontId="2" fillId="0" borderId="25" xfId="0" applyNumberFormat="1" applyFont="1" applyFill="1" applyBorder="1" applyAlignment="1" applyProtection="1">
      <alignment horizontal="left" vertical="center" wrapText="1"/>
      <protection/>
    </xf>
    <xf numFmtId="1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2" fontId="2" fillId="36" borderId="37" xfId="0" applyNumberFormat="1" applyFont="1" applyFill="1" applyBorder="1" applyAlignment="1" applyProtection="1">
      <alignment horizontal="right" vertical="center" wrapText="1"/>
      <protection/>
    </xf>
    <xf numFmtId="2" fontId="2" fillId="36" borderId="36" xfId="0" applyNumberFormat="1" applyFont="1" applyFill="1" applyBorder="1" applyAlignment="1" applyProtection="1">
      <alignment horizontal="right" vertical="center" wrapText="1"/>
      <protection/>
    </xf>
    <xf numFmtId="4" fontId="2" fillId="36" borderId="37" xfId="0" applyNumberFormat="1" applyFont="1" applyFill="1" applyBorder="1" applyAlignment="1" applyProtection="1">
      <alignment horizontal="right" vertical="center" wrapText="1"/>
      <protection/>
    </xf>
    <xf numFmtId="4" fontId="2" fillId="36" borderId="54" xfId="0" applyNumberFormat="1" applyFont="1" applyFill="1" applyBorder="1" applyAlignment="1" applyProtection="1">
      <alignment horizontal="right" vertical="center" wrapText="1"/>
      <protection/>
    </xf>
    <xf numFmtId="4" fontId="2" fillId="36" borderId="36" xfId="0" applyNumberFormat="1" applyFont="1" applyFill="1" applyBorder="1" applyAlignment="1" applyProtection="1">
      <alignment horizontal="right" vertical="center" wrapText="1"/>
      <protection/>
    </xf>
    <xf numFmtId="170" fontId="2" fillId="36" borderId="54" xfId="45" applyFont="1" applyFill="1" applyBorder="1" applyAlignment="1" applyProtection="1">
      <alignment horizontal="right" vertical="center" wrapText="1"/>
      <protection/>
    </xf>
    <xf numFmtId="0" fontId="1" fillId="38" borderId="10" xfId="0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wrapText="1" indent="2"/>
      <protection/>
    </xf>
    <xf numFmtId="0" fontId="21" fillId="34" borderId="10" xfId="0" applyFont="1" applyFill="1" applyBorder="1" applyAlignment="1" applyProtection="1">
      <alignment horizontal="right" vertical="center" wrapText="1" indent="2"/>
      <protection/>
    </xf>
    <xf numFmtId="173" fontId="4" fillId="0" borderId="63" xfId="0" applyNumberFormat="1" applyFont="1" applyFill="1" applyBorder="1" applyAlignment="1" applyProtection="1">
      <alignment horizontal="center"/>
      <protection/>
    </xf>
    <xf numFmtId="173" fontId="4" fillId="0" borderId="39" xfId="0" applyNumberFormat="1" applyFont="1" applyFill="1" applyBorder="1" applyAlignment="1" applyProtection="1">
      <alignment horizontal="center"/>
      <protection/>
    </xf>
    <xf numFmtId="10" fontId="4" fillId="0" borderId="64" xfId="51" applyNumberFormat="1" applyFont="1" applyFill="1" applyBorder="1" applyAlignment="1" applyProtection="1">
      <alignment horizontal="center"/>
      <protection/>
    </xf>
    <xf numFmtId="10" fontId="4" fillId="0" borderId="35" xfId="51" applyNumberFormat="1" applyFont="1" applyFill="1" applyBorder="1" applyAlignment="1" applyProtection="1">
      <alignment horizontal="center"/>
      <protection/>
    </xf>
    <xf numFmtId="173" fontId="4" fillId="0" borderId="55" xfId="0" applyNumberFormat="1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wrapText="1" indent="2"/>
      <protection/>
    </xf>
    <xf numFmtId="0" fontId="4" fillId="0" borderId="32" xfId="0" applyFont="1" applyBorder="1" applyAlignment="1" applyProtection="1">
      <alignment horizontal="left" wrapText="1" indent="2"/>
      <protection/>
    </xf>
    <xf numFmtId="0" fontId="24" fillId="40" borderId="28" xfId="0" applyFont="1" applyFill="1" applyBorder="1" applyAlignment="1" applyProtection="1">
      <alignment horizontal="center" wrapText="1"/>
      <protection/>
    </xf>
    <xf numFmtId="0" fontId="24" fillId="40" borderId="29" xfId="0" applyFont="1" applyFill="1" applyBorder="1" applyAlignment="1" applyProtection="1">
      <alignment horizontal="center" wrapText="1"/>
      <protection/>
    </xf>
    <xf numFmtId="0" fontId="24" fillId="40" borderId="30" xfId="0" applyFont="1" applyFill="1" applyBorder="1" applyAlignment="1" applyProtection="1">
      <alignment horizontal="center" wrapText="1"/>
      <protection/>
    </xf>
    <xf numFmtId="0" fontId="23" fillId="0" borderId="65" xfId="0" applyFont="1" applyFill="1" applyBorder="1" applyAlignment="1" applyProtection="1">
      <alignment horizontal="center"/>
      <protection/>
    </xf>
    <xf numFmtId="0" fontId="23" fillId="41" borderId="65" xfId="0" applyFont="1" applyFill="1" applyBorder="1" applyAlignment="1" applyProtection="1">
      <alignment/>
      <protection/>
    </xf>
    <xf numFmtId="4" fontId="23" fillId="41" borderId="65" xfId="0" applyNumberFormat="1" applyFont="1" applyFill="1" applyBorder="1" applyAlignment="1" applyProtection="1">
      <alignment horizontal="center"/>
      <protection/>
    </xf>
    <xf numFmtId="4" fontId="23" fillId="41" borderId="66" xfId="0" applyNumberFormat="1" applyFont="1" applyFill="1" applyBorder="1" applyAlignment="1" applyProtection="1">
      <alignment horizontal="center"/>
      <protection/>
    </xf>
    <xf numFmtId="49" fontId="24" fillId="42" borderId="24" xfId="0" applyNumberFormat="1" applyFont="1" applyFill="1" applyBorder="1" applyAlignment="1" applyProtection="1">
      <alignment horizontal="center" wrapText="1"/>
      <protection/>
    </xf>
    <xf numFmtId="0" fontId="24" fillId="0" borderId="24" xfId="0" applyFont="1" applyFill="1" applyBorder="1" applyAlignment="1" applyProtection="1">
      <alignment horizontal="left" wrapText="1"/>
      <protection/>
    </xf>
    <xf numFmtId="0" fontId="24" fillId="0" borderId="24" xfId="0" applyFont="1" applyFill="1" applyBorder="1" applyAlignment="1" applyProtection="1">
      <alignment horizontal="center" wrapText="1"/>
      <protection/>
    </xf>
    <xf numFmtId="0" fontId="24" fillId="42" borderId="24" xfId="0" applyFont="1" applyFill="1" applyBorder="1" applyAlignment="1" applyProtection="1">
      <alignment horizontal="center" wrapText="1"/>
      <protection/>
    </xf>
    <xf numFmtId="4" fontId="24" fillId="0" borderId="24" xfId="0" applyNumberFormat="1" applyFont="1" applyFill="1" applyBorder="1" applyAlignment="1" applyProtection="1">
      <alignment horizontal="center" wrapText="1"/>
      <protection/>
    </xf>
    <xf numFmtId="49" fontId="24" fillId="42" borderId="45" xfId="0" applyNumberFormat="1" applyFont="1" applyFill="1" applyBorder="1" applyAlignment="1" applyProtection="1">
      <alignment horizontal="center" wrapText="1"/>
      <protection/>
    </xf>
    <xf numFmtId="0" fontId="24" fillId="40" borderId="28" xfId="0" applyFont="1" applyFill="1" applyBorder="1" applyAlignment="1" applyProtection="1">
      <alignment horizontal="left" wrapText="1"/>
      <protection/>
    </xf>
    <xf numFmtId="0" fontId="24" fillId="40" borderId="29" xfId="0" applyFont="1" applyFill="1" applyBorder="1" applyAlignment="1" applyProtection="1">
      <alignment horizontal="left" wrapText="1"/>
      <protection/>
    </xf>
    <xf numFmtId="0" fontId="24" fillId="40" borderId="30" xfId="0" applyFont="1" applyFill="1" applyBorder="1" applyAlignment="1" applyProtection="1">
      <alignment horizontal="left" wrapText="1"/>
      <protection/>
    </xf>
    <xf numFmtId="0" fontId="24" fillId="0" borderId="48" xfId="0" applyFont="1" applyFill="1" applyBorder="1" applyAlignment="1" applyProtection="1">
      <alignment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ta" xfId="50"/>
    <cellStyle name="Percent" xfId="51"/>
    <cellStyle name="Porcentagem 3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52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0"/>
  <sheetViews>
    <sheetView tabSelected="1" view="pageBreakPreview" zoomScaleSheetLayoutView="100" zoomScalePageLayoutView="0" workbookViewId="0" topLeftCell="A1">
      <selection activeCell="C44" sqref="C44"/>
    </sheetView>
  </sheetViews>
  <sheetFormatPr defaultColWidth="9.140625" defaultRowHeight="12.75"/>
  <cols>
    <col min="1" max="1" width="1.7109375" style="85" customWidth="1"/>
    <col min="2" max="2" width="24.421875" style="85" bestFit="1" customWidth="1"/>
    <col min="3" max="5" width="10.7109375" style="85" customWidth="1"/>
    <col min="6" max="6" width="17.7109375" style="70" customWidth="1"/>
    <col min="7" max="7" width="9.140625" style="85" customWidth="1"/>
    <col min="8" max="8" width="11.28125" style="85" hidden="1" customWidth="1"/>
    <col min="9" max="9" width="12.8515625" style="85" hidden="1" customWidth="1"/>
    <col min="10" max="10" width="11.7109375" style="85" hidden="1" customWidth="1"/>
    <col min="11" max="11" width="0" style="85" hidden="1" customWidth="1"/>
    <col min="12" max="18" width="9.140625" style="85" customWidth="1"/>
    <col min="19" max="19" width="9.140625" style="108" customWidth="1"/>
    <col min="20" max="20" width="9.140625" style="109" customWidth="1"/>
    <col min="21" max="16384" width="9.140625" style="85" customWidth="1"/>
  </cols>
  <sheetData>
    <row r="1" ht="35.25" customHeight="1">
      <c r="B1" s="107" t="s">
        <v>67</v>
      </c>
    </row>
    <row r="2" spans="2:20" s="110" customFormat="1" ht="32.25" customHeight="1">
      <c r="B2" s="259" t="s">
        <v>26</v>
      </c>
      <c r="C2" s="259"/>
      <c r="D2" s="259"/>
      <c r="E2" s="259"/>
      <c r="F2" s="259"/>
      <c r="S2" s="111"/>
      <c r="T2" s="112"/>
    </row>
    <row r="3" spans="2:20" s="60" customFormat="1" ht="12.75">
      <c r="B3" s="60" t="s">
        <v>62</v>
      </c>
      <c r="C3" s="260" t="s">
        <v>63</v>
      </c>
      <c r="D3" s="261"/>
      <c r="E3" s="261"/>
      <c r="F3" s="262"/>
      <c r="S3" s="113"/>
      <c r="T3" s="114"/>
    </row>
    <row r="4" spans="2:20" s="60" customFormat="1" ht="12.75">
      <c r="B4" s="60" t="s">
        <v>120</v>
      </c>
      <c r="C4" s="237" t="s">
        <v>126</v>
      </c>
      <c r="D4" s="238"/>
      <c r="E4" s="238"/>
      <c r="F4" s="239"/>
      <c r="S4" s="113"/>
      <c r="T4" s="114"/>
    </row>
    <row r="5" spans="2:20" s="60" customFormat="1" ht="12.75">
      <c r="B5" s="60" t="s">
        <v>27</v>
      </c>
      <c r="C5" s="237" t="s">
        <v>64</v>
      </c>
      <c r="D5" s="238"/>
      <c r="E5" s="238"/>
      <c r="F5" s="239"/>
      <c r="S5" s="113"/>
      <c r="T5" s="114"/>
    </row>
    <row r="6" spans="2:20" s="60" customFormat="1" ht="12.75">
      <c r="B6" s="115" t="s">
        <v>28</v>
      </c>
      <c r="C6" s="263" t="s">
        <v>250</v>
      </c>
      <c r="D6" s="264"/>
      <c r="E6" s="264"/>
      <c r="F6" s="265"/>
      <c r="S6" s="113"/>
      <c r="T6" s="114"/>
    </row>
    <row r="7" spans="2:20" s="99" customFormat="1" ht="13.5" customHeight="1">
      <c r="B7" s="99" t="s">
        <v>68</v>
      </c>
      <c r="C7" s="237" t="s">
        <v>204</v>
      </c>
      <c r="D7" s="238"/>
      <c r="E7" s="238"/>
      <c r="F7" s="239"/>
      <c r="S7" s="116"/>
      <c r="T7" s="117"/>
    </row>
    <row r="8" spans="2:20" s="99" customFormat="1" ht="13.5" customHeight="1">
      <c r="B8" s="99" t="s">
        <v>70</v>
      </c>
      <c r="C8" s="260" t="s">
        <v>65</v>
      </c>
      <c r="D8" s="261"/>
      <c r="E8" s="261"/>
      <c r="F8" s="262"/>
      <c r="S8" s="116"/>
      <c r="T8" s="117"/>
    </row>
    <row r="9" spans="2:20" s="99" customFormat="1" ht="13.5" customHeight="1">
      <c r="B9" s="99" t="s">
        <v>66</v>
      </c>
      <c r="C9" s="260" t="s">
        <v>65</v>
      </c>
      <c r="D9" s="261"/>
      <c r="E9" s="261"/>
      <c r="F9" s="262"/>
      <c r="S9" s="116"/>
      <c r="T9" s="117"/>
    </row>
    <row r="10" spans="2:20" s="99" customFormat="1" ht="12.75">
      <c r="B10" s="99" t="s">
        <v>71</v>
      </c>
      <c r="C10" s="234" t="s">
        <v>65</v>
      </c>
      <c r="D10" s="235"/>
      <c r="E10" s="235"/>
      <c r="F10" s="236"/>
      <c r="S10" s="116"/>
      <c r="T10" s="117"/>
    </row>
    <row r="11" spans="3:20" s="99" customFormat="1" ht="7.5" customHeight="1">
      <c r="C11" s="118"/>
      <c r="D11" s="119"/>
      <c r="E11" s="119"/>
      <c r="F11" s="119"/>
      <c r="S11" s="116"/>
      <c r="T11" s="117"/>
    </row>
    <row r="12" spans="2:20" s="99" customFormat="1" ht="18" customHeight="1">
      <c r="B12" s="57" t="s">
        <v>29</v>
      </c>
      <c r="C12" s="58">
        <v>1</v>
      </c>
      <c r="D12" s="59">
        <f>IF(C12&gt;0,IF(C12&lt;7,,"&lt;--- Insira valor entre 1 e 6"),"&lt;--- Insira valor entre 1 e 6")</f>
        <v>0</v>
      </c>
      <c r="E12" s="60"/>
      <c r="F12" s="61"/>
      <c r="S12" s="116"/>
      <c r="T12" s="117"/>
    </row>
    <row r="13" spans="2:20" s="99" customFormat="1" ht="12.75">
      <c r="B13" s="62" t="s">
        <v>30</v>
      </c>
      <c r="C13" s="53">
        <v>1</v>
      </c>
      <c r="D13" s="266" t="s">
        <v>31</v>
      </c>
      <c r="E13" s="267"/>
      <c r="F13" s="268"/>
      <c r="S13" s="116"/>
      <c r="T13" s="117"/>
    </row>
    <row r="14" spans="2:20" s="99" customFormat="1" ht="30" customHeight="1">
      <c r="B14" s="62" t="s">
        <v>32</v>
      </c>
      <c r="C14" s="63">
        <v>2</v>
      </c>
      <c r="D14" s="54">
        <f>IF(D15&lt;&gt;0,0,"( X )")</f>
        <v>0</v>
      </c>
      <c r="E14" s="64" t="s">
        <v>33</v>
      </c>
      <c r="F14" s="65"/>
      <c r="S14" s="116"/>
      <c r="T14" s="117"/>
    </row>
    <row r="15" spans="2:20" s="99" customFormat="1" ht="30" customHeight="1">
      <c r="B15" s="62" t="s">
        <v>34</v>
      </c>
      <c r="C15" s="63">
        <v>3</v>
      </c>
      <c r="D15" s="66" t="s">
        <v>83</v>
      </c>
      <c r="E15" s="67" t="s">
        <v>35</v>
      </c>
      <c r="F15" s="68"/>
      <c r="S15" s="116"/>
      <c r="T15" s="117"/>
    </row>
    <row r="16" spans="2:20" s="99" customFormat="1" ht="30" customHeight="1">
      <c r="B16" s="62" t="s">
        <v>36</v>
      </c>
      <c r="C16" s="63">
        <v>4</v>
      </c>
      <c r="D16" s="245" t="s">
        <v>37</v>
      </c>
      <c r="E16" s="246"/>
      <c r="F16" s="247"/>
      <c r="S16" s="116"/>
      <c r="T16" s="117"/>
    </row>
    <row r="17" spans="2:20" s="99" customFormat="1" ht="30" customHeight="1">
      <c r="B17" s="62" t="s">
        <v>38</v>
      </c>
      <c r="C17" s="63">
        <v>5</v>
      </c>
      <c r="D17" s="55">
        <f>IF(D18&lt;&gt;0,0,"( X )")</f>
        <v>0</v>
      </c>
      <c r="E17" s="64" t="s">
        <v>39</v>
      </c>
      <c r="F17" s="65"/>
      <c r="S17" s="116"/>
      <c r="T17" s="117"/>
    </row>
    <row r="18" spans="2:20" s="99" customFormat="1" ht="30" customHeight="1">
      <c r="B18" s="62" t="s">
        <v>40</v>
      </c>
      <c r="C18" s="63">
        <v>6</v>
      </c>
      <c r="D18" s="66" t="s">
        <v>83</v>
      </c>
      <c r="E18" s="67" t="s">
        <v>41</v>
      </c>
      <c r="F18" s="68"/>
      <c r="S18" s="116"/>
      <c r="T18" s="117"/>
    </row>
    <row r="19" spans="2:20" s="99" customFormat="1" ht="30" customHeight="1">
      <c r="B19" s="255" t="s">
        <v>270</v>
      </c>
      <c r="C19" s="256"/>
      <c r="D19" s="256"/>
      <c r="E19" s="256"/>
      <c r="F19" s="100">
        <v>0.3</v>
      </c>
      <c r="S19" s="116"/>
      <c r="T19" s="117"/>
    </row>
    <row r="20" spans="2:20" s="99" customFormat="1" ht="30" customHeight="1">
      <c r="B20" s="257" t="s">
        <v>271</v>
      </c>
      <c r="C20" s="258"/>
      <c r="D20" s="258"/>
      <c r="E20" s="258"/>
      <c r="F20" s="102"/>
      <c r="S20" s="116"/>
      <c r="T20" s="117"/>
    </row>
    <row r="21" spans="2:20" s="99" customFormat="1" ht="7.5" customHeight="1">
      <c r="B21" s="69"/>
      <c r="C21" s="60"/>
      <c r="D21" s="60"/>
      <c r="E21" s="60"/>
      <c r="F21" s="61"/>
      <c r="S21" s="116"/>
      <c r="T21" s="117"/>
    </row>
    <row r="22" spans="2:10" ht="15.75" customHeight="1">
      <c r="B22" s="70"/>
      <c r="C22" s="248" t="s">
        <v>42</v>
      </c>
      <c r="D22" s="248"/>
      <c r="E22" s="248"/>
      <c r="H22" s="120" t="s">
        <v>87</v>
      </c>
      <c r="I22" s="121">
        <f>F24</f>
        <v>0</v>
      </c>
      <c r="J22" s="120"/>
    </row>
    <row r="23" spans="2:20" s="122" customFormat="1" ht="31.5">
      <c r="B23" s="71" t="s">
        <v>43</v>
      </c>
      <c r="C23" s="72" t="s">
        <v>44</v>
      </c>
      <c r="D23" s="72" t="s">
        <v>45</v>
      </c>
      <c r="E23" s="72" t="s">
        <v>46</v>
      </c>
      <c r="F23" s="73" t="s">
        <v>47</v>
      </c>
      <c r="H23" s="123" t="s">
        <v>88</v>
      </c>
      <c r="I23" s="124">
        <f>F25</f>
        <v>0</v>
      </c>
      <c r="J23" s="123"/>
      <c r="S23" s="125"/>
      <c r="T23" s="126"/>
    </row>
    <row r="24" spans="2:19" ht="15.75">
      <c r="B24" s="74" t="s">
        <v>48</v>
      </c>
      <c r="C24" s="75">
        <v>0.03</v>
      </c>
      <c r="D24" s="76">
        <v>0.04</v>
      </c>
      <c r="E24" s="77">
        <v>0.055</v>
      </c>
      <c r="F24" s="103"/>
      <c r="G24" s="127">
        <f>IF(F24=0,"",IF(F24&lt;C24,"Atenção, observar os intervalos!",IF(F24&gt;E24,"Atenção, observar os intervalos!","")))</f>
      </c>
      <c r="H24" s="120" t="s">
        <v>89</v>
      </c>
      <c r="I24" s="121">
        <f>I23</f>
        <v>0</v>
      </c>
      <c r="J24" s="120"/>
      <c r="R24" s="109"/>
      <c r="S24" s="109"/>
    </row>
    <row r="25" spans="2:19" ht="15.75">
      <c r="B25" s="74" t="s">
        <v>49</v>
      </c>
      <c r="C25" s="78">
        <v>0.008</v>
      </c>
      <c r="D25" s="79">
        <v>0.008</v>
      </c>
      <c r="E25" s="80">
        <v>0.01</v>
      </c>
      <c r="F25" s="103"/>
      <c r="G25" s="127">
        <f>IF(F25=0,"",IF(F25&lt;C25,"Atenção, observar os intervalos!",IF(F25&gt;E25,"Atenção, observar os intervalos!","")))</f>
      </c>
      <c r="H25" s="120" t="s">
        <v>90</v>
      </c>
      <c r="I25" s="121">
        <f aca="true" t="shared" si="0" ref="I25:I30">F26</f>
        <v>0</v>
      </c>
      <c r="J25" s="120"/>
      <c r="R25" s="109"/>
      <c r="S25" s="109"/>
    </row>
    <row r="26" spans="2:19" ht="15.75">
      <c r="B26" s="74" t="s">
        <v>50</v>
      </c>
      <c r="C26" s="78">
        <v>0.0097</v>
      </c>
      <c r="D26" s="79">
        <v>0.0127</v>
      </c>
      <c r="E26" s="80">
        <v>0.0127</v>
      </c>
      <c r="F26" s="103"/>
      <c r="G26" s="127">
        <f>IF(F26=0,"",IF(F26&lt;C26,"Atenção, observar os intervalos!",IF(F26&gt;E26,"Atenção, observar os intervalos!","")))</f>
      </c>
      <c r="H26" s="120" t="s">
        <v>91</v>
      </c>
      <c r="I26" s="121">
        <f t="shared" si="0"/>
        <v>0</v>
      </c>
      <c r="J26" s="128"/>
      <c r="R26" s="109"/>
      <c r="S26" s="109"/>
    </row>
    <row r="27" spans="2:19" ht="15.75">
      <c r="B27" s="74" t="s">
        <v>51</v>
      </c>
      <c r="C27" s="78">
        <v>0.0059</v>
      </c>
      <c r="D27" s="79">
        <v>0.0123</v>
      </c>
      <c r="E27" s="80">
        <v>0.0139</v>
      </c>
      <c r="F27" s="103"/>
      <c r="G27" s="127">
        <f>IF(F27=0,"",IF(F27&lt;C27,"Atenção, observar os intervalos!",IF(F27&gt;E27,"Atenção, observar os intervalos!","")))</f>
      </c>
      <c r="H27" s="120" t="s">
        <v>92</v>
      </c>
      <c r="I27" s="121">
        <f t="shared" si="0"/>
        <v>0</v>
      </c>
      <c r="J27" s="128"/>
      <c r="R27" s="109"/>
      <c r="S27" s="109"/>
    </row>
    <row r="28" spans="2:19" ht="15.75">
      <c r="B28" s="74" t="s">
        <v>52</v>
      </c>
      <c r="C28" s="81">
        <v>0.0616</v>
      </c>
      <c r="D28" s="82">
        <v>0.074</v>
      </c>
      <c r="E28" s="83">
        <v>0.0896</v>
      </c>
      <c r="F28" s="103"/>
      <c r="G28" s="127">
        <f>IF(F28=0,"",IF(F28&lt;C28,"Atenção, observar os intervalos!",IF(F28&gt;E28,"Atenção, observar os intervalos!","")))</f>
      </c>
      <c r="H28" s="120" t="s">
        <v>93</v>
      </c>
      <c r="I28" s="121">
        <f t="shared" si="0"/>
        <v>0</v>
      </c>
      <c r="J28" s="120"/>
      <c r="R28" s="109"/>
      <c r="S28" s="109"/>
    </row>
    <row r="29" spans="2:19" ht="15.75">
      <c r="B29" s="249" t="s">
        <v>53</v>
      </c>
      <c r="C29" s="250"/>
      <c r="D29" s="250"/>
      <c r="E29" s="251"/>
      <c r="F29" s="104"/>
      <c r="G29" s="127"/>
      <c r="H29" s="120" t="s">
        <v>94</v>
      </c>
      <c r="I29" s="121">
        <f t="shared" si="0"/>
        <v>0</v>
      </c>
      <c r="J29" s="120"/>
      <c r="R29" s="109"/>
      <c r="S29" s="109"/>
    </row>
    <row r="30" spans="2:19" ht="15.75">
      <c r="B30" s="252" t="s">
        <v>54</v>
      </c>
      <c r="C30" s="253"/>
      <c r="D30" s="253"/>
      <c r="E30" s="254"/>
      <c r="F30" s="84">
        <f>F19*F20</f>
        <v>0</v>
      </c>
      <c r="G30" s="127"/>
      <c r="H30" s="120" t="s">
        <v>95</v>
      </c>
      <c r="I30" s="121">
        <f t="shared" si="0"/>
        <v>0.045</v>
      </c>
      <c r="J30" s="120"/>
      <c r="R30" s="109"/>
      <c r="S30" s="109"/>
    </row>
    <row r="31" spans="2:19" ht="16.5" thickBot="1">
      <c r="B31" s="231" t="s">
        <v>55</v>
      </c>
      <c r="C31" s="232"/>
      <c r="D31" s="232"/>
      <c r="E31" s="232"/>
      <c r="F31" s="56">
        <v>0.045</v>
      </c>
      <c r="G31" s="127"/>
      <c r="H31" s="120"/>
      <c r="I31" s="129"/>
      <c r="J31" s="129"/>
      <c r="K31" s="130"/>
      <c r="L31" s="131"/>
      <c r="M31" s="132"/>
      <c r="N31" s="132"/>
      <c r="O31" s="133"/>
      <c r="R31" s="109"/>
      <c r="S31" s="109"/>
    </row>
    <row r="32" spans="8:18" ht="12.75">
      <c r="H32" s="120"/>
      <c r="I32" s="129"/>
      <c r="J32" s="129"/>
      <c r="K32" s="130"/>
      <c r="L32" s="131"/>
      <c r="M32" s="131"/>
      <c r="N32" s="131"/>
      <c r="R32" s="108"/>
    </row>
    <row r="33" spans="2:19" ht="15.75">
      <c r="B33" s="233" t="s">
        <v>56</v>
      </c>
      <c r="C33" s="233"/>
      <c r="D33" s="233"/>
      <c r="E33" s="233"/>
      <c r="F33" s="86">
        <f>(((1+I22+I24+I25)*(1+I26)*(1+I27))/(1-I28-I29))-1</f>
        <v>0</v>
      </c>
      <c r="G33" s="134"/>
      <c r="H33" s="128" t="s">
        <v>84</v>
      </c>
      <c r="I33" s="128" t="s">
        <v>85</v>
      </c>
      <c r="J33" s="128" t="s">
        <v>86</v>
      </c>
      <c r="R33" s="109"/>
      <c r="S33" s="109"/>
    </row>
    <row r="34" spans="2:19" ht="16.5" thickBot="1">
      <c r="B34" s="240" t="s">
        <v>57</v>
      </c>
      <c r="C34" s="241"/>
      <c r="D34" s="241"/>
      <c r="E34" s="241"/>
      <c r="F34" s="87">
        <f>ROUND(((1+I22+I24+I25)*(1+I26)*(1+I27))/(1-I28-I29-I30),4)-1</f>
        <v>0.04709999999999992</v>
      </c>
      <c r="G34" s="93"/>
      <c r="H34" s="128">
        <v>0.2034</v>
      </c>
      <c r="I34" s="128">
        <v>0.2212</v>
      </c>
      <c r="J34" s="128">
        <v>0.25</v>
      </c>
      <c r="R34" s="109"/>
      <c r="S34" s="109"/>
    </row>
    <row r="36" spans="2:6" ht="48" customHeight="1">
      <c r="B36" s="242" t="s">
        <v>58</v>
      </c>
      <c r="C36" s="242"/>
      <c r="D36" s="242"/>
      <c r="E36" s="242"/>
      <c r="F36" s="242"/>
    </row>
    <row r="38" spans="2:6" ht="12.75">
      <c r="B38" s="243" t="s">
        <v>59</v>
      </c>
      <c r="C38" s="243"/>
      <c r="D38" s="243"/>
      <c r="E38" s="243"/>
      <c r="F38" s="243"/>
    </row>
    <row r="39" spans="2:6" ht="12.75">
      <c r="B39" s="244" t="s">
        <v>60</v>
      </c>
      <c r="C39" s="244"/>
      <c r="D39" s="244"/>
      <c r="E39" s="244"/>
      <c r="F39" s="244"/>
    </row>
    <row r="40" spans="2:20" ht="15.75">
      <c r="B40" s="135" t="s">
        <v>122</v>
      </c>
      <c r="C40" s="93"/>
      <c r="D40" s="93"/>
      <c r="E40" s="93"/>
      <c r="F40" s="93"/>
      <c r="M40" s="135"/>
      <c r="P40" s="136"/>
      <c r="Q40" s="70"/>
      <c r="T40" s="85"/>
    </row>
    <row r="41" spans="2:17" ht="15.75">
      <c r="B41" s="137" t="s">
        <v>121</v>
      </c>
      <c r="C41" s="93"/>
      <c r="D41" s="93"/>
      <c r="E41" s="93"/>
      <c r="F41" s="93"/>
      <c r="M41" s="137"/>
      <c r="Q41" s="70"/>
    </row>
    <row r="42" ht="22.5" customHeight="1">
      <c r="F42" s="88"/>
    </row>
    <row r="43" ht="12.75">
      <c r="B43" s="110"/>
    </row>
    <row r="44" spans="2:5" ht="12.75">
      <c r="B44" s="138" t="s">
        <v>117</v>
      </c>
      <c r="C44" s="89"/>
      <c r="D44" s="89"/>
      <c r="E44" s="101"/>
    </row>
    <row r="45" spans="2:5" ht="12.75">
      <c r="B45" s="139" t="s">
        <v>118</v>
      </c>
      <c r="C45" s="105"/>
      <c r="D45" s="105"/>
      <c r="E45" s="101"/>
    </row>
    <row r="46" spans="2:4" ht="12.75">
      <c r="B46" s="140"/>
      <c r="C46" s="140"/>
      <c r="D46" s="140"/>
    </row>
    <row r="48" spans="2:4" ht="12.75">
      <c r="B48" s="141"/>
      <c r="C48" s="141"/>
      <c r="D48" s="141"/>
    </row>
    <row r="49" spans="2:5" ht="12.75">
      <c r="B49" s="138" t="s">
        <v>133</v>
      </c>
      <c r="C49" s="106"/>
      <c r="D49" s="106"/>
      <c r="E49" s="101"/>
    </row>
    <row r="50" spans="2:5" ht="12.75">
      <c r="B50" s="139" t="s">
        <v>61</v>
      </c>
      <c r="C50" s="105"/>
      <c r="D50" s="105"/>
      <c r="E50" s="101"/>
    </row>
  </sheetData>
  <sheetProtection password="C637" sheet="1" selectLockedCells="1"/>
  <mergeCells count="22">
    <mergeCell ref="B2:F2"/>
    <mergeCell ref="C3:F3"/>
    <mergeCell ref="C5:F5"/>
    <mergeCell ref="C6:F6"/>
    <mergeCell ref="C7:F7"/>
    <mergeCell ref="D13:F13"/>
    <mergeCell ref="C8:F8"/>
    <mergeCell ref="C9:F9"/>
    <mergeCell ref="B38:F38"/>
    <mergeCell ref="B39:F39"/>
    <mergeCell ref="D16:F16"/>
    <mergeCell ref="C22:E22"/>
    <mergeCell ref="B29:E29"/>
    <mergeCell ref="B30:E30"/>
    <mergeCell ref="B19:E19"/>
    <mergeCell ref="B20:E20"/>
    <mergeCell ref="B31:E31"/>
    <mergeCell ref="B33:E33"/>
    <mergeCell ref="C10:F10"/>
    <mergeCell ref="C4:F4"/>
    <mergeCell ref="B34:E34"/>
    <mergeCell ref="B36:F36"/>
  </mergeCells>
  <conditionalFormatting sqref="F24:F28">
    <cfRule type="cellIs" priority="13" dxfId="45" operator="between" stopIfTrue="1">
      <formula>$C24</formula>
      <formula>$E24</formula>
    </cfRule>
  </conditionalFormatting>
  <conditionalFormatting sqref="B13:C18">
    <cfRule type="expression" priority="10" dxfId="33" stopIfTrue="1">
      <formula>$C$12=0</formula>
    </cfRule>
    <cfRule type="expression" priority="11" dxfId="33" stopIfTrue="1">
      <formula>$C$12&gt;6</formula>
    </cfRule>
    <cfRule type="expression" priority="12" dxfId="42" stopIfTrue="1">
      <formula>$C13&lt;&gt;$C$12</formula>
    </cfRule>
  </conditionalFormatting>
  <conditionalFormatting sqref="E14">
    <cfRule type="expression" priority="9" dxfId="33" stopIfTrue="1">
      <formula>$D$15&lt;&gt;0</formula>
    </cfRule>
  </conditionalFormatting>
  <conditionalFormatting sqref="E15">
    <cfRule type="expression" priority="8" dxfId="38" stopIfTrue="1">
      <formula>$D$15&lt;&gt;0</formula>
    </cfRule>
  </conditionalFormatting>
  <conditionalFormatting sqref="E17 B33:F33">
    <cfRule type="expression" priority="7" dxfId="33" stopIfTrue="1">
      <formula>$D$18&lt;&gt;0</formula>
    </cfRule>
  </conditionalFormatting>
  <conditionalFormatting sqref="E18">
    <cfRule type="expression" priority="6" dxfId="38" stopIfTrue="1">
      <formula>$D$18&lt;&gt;0</formula>
    </cfRule>
  </conditionalFormatting>
  <conditionalFormatting sqref="B34:F34">
    <cfRule type="expression" priority="5" dxfId="46" stopIfTrue="1">
      <formula>$D$18&lt;&gt;0</formula>
    </cfRule>
  </conditionalFormatting>
  <conditionalFormatting sqref="B39:F39 C40:F41">
    <cfRule type="expression" priority="4" dxfId="33" stopIfTrue="1">
      <formula>$D$18&lt;&gt;0</formula>
    </cfRule>
  </conditionalFormatting>
  <conditionalFormatting sqref="F31">
    <cfRule type="expression" priority="3" dxfId="47" stopIfTrue="1">
      <formula>$D$18&lt;&gt;0</formula>
    </cfRule>
  </conditionalFormatting>
  <conditionalFormatting sqref="B31:E31">
    <cfRule type="expression" priority="2" dxfId="48" stopIfTrue="1">
      <formula>$D$18&lt;&gt;0</formula>
    </cfRule>
  </conditionalFormatting>
  <conditionalFormatting sqref="B38:F38">
    <cfRule type="expression" priority="1" dxfId="33" stopIfTrue="1">
      <formula>$D$18&lt;&gt;0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22">
      <selection activeCell="E44" sqref="E44"/>
    </sheetView>
  </sheetViews>
  <sheetFormatPr defaultColWidth="9.140625" defaultRowHeight="12.75"/>
  <cols>
    <col min="1" max="1" width="9.140625" style="145" customWidth="1"/>
    <col min="2" max="2" width="9.421875" style="145" customWidth="1"/>
    <col min="3" max="3" width="54.140625" style="145" customWidth="1"/>
    <col min="4" max="4" width="6.28125" style="145" customWidth="1"/>
    <col min="5" max="5" width="10.28125" style="145" customWidth="1"/>
    <col min="6" max="6" width="10.7109375" style="145" bestFit="1" customWidth="1"/>
    <col min="7" max="7" width="11.7109375" style="145" customWidth="1"/>
    <col min="8" max="8" width="13.140625" style="145" customWidth="1"/>
    <col min="9" max="16384" width="9.140625" style="145" customWidth="1"/>
  </cols>
  <sheetData>
    <row r="1" ht="37.5" customHeight="1">
      <c r="A1" s="107" t="s">
        <v>67</v>
      </c>
    </row>
    <row r="2" spans="1:9" ht="12.75" customHeight="1">
      <c r="A2" s="284" t="s">
        <v>96</v>
      </c>
      <c r="B2" s="284"/>
      <c r="C2" s="284"/>
      <c r="D2" s="284"/>
      <c r="E2" s="284"/>
      <c r="F2" s="284"/>
      <c r="G2" s="284"/>
      <c r="H2" s="284"/>
      <c r="I2" s="146"/>
    </row>
    <row r="3" spans="1:8" ht="15" customHeight="1">
      <c r="A3" s="284"/>
      <c r="B3" s="284"/>
      <c r="C3" s="284"/>
      <c r="D3" s="284"/>
      <c r="E3" s="284"/>
      <c r="F3" s="284"/>
      <c r="G3" s="284"/>
      <c r="H3" s="284"/>
    </row>
    <row r="4" spans="1:8" ht="12.75" customHeight="1">
      <c r="A4" s="147"/>
      <c r="B4" s="147"/>
      <c r="C4" s="147"/>
      <c r="D4" s="147"/>
      <c r="E4" s="147"/>
      <c r="F4" s="147"/>
      <c r="G4" s="147"/>
      <c r="H4" s="147"/>
    </row>
    <row r="5" spans="1:7" ht="12.75">
      <c r="A5" s="281" t="str">
        <f>'P. BDI'!B3</f>
        <v>Edital :</v>
      </c>
      <c r="B5" s="281"/>
      <c r="C5" s="94" t="str">
        <f>'P. BDI'!C3:F3</f>
        <v>TP -xxx</v>
      </c>
      <c r="D5" s="282" t="s">
        <v>131</v>
      </c>
      <c r="E5" s="283"/>
      <c r="F5" s="285">
        <v>26.52</v>
      </c>
      <c r="G5" s="286"/>
    </row>
    <row r="6" spans="1:9" ht="12.75">
      <c r="A6" s="281" t="str">
        <f>'P. BDI'!B4</f>
        <v>N° Contrato de Repasse:</v>
      </c>
      <c r="B6" s="281"/>
      <c r="C6" s="149" t="str">
        <f>'P. BDI'!C4:F4</f>
        <v>Recursos proprios</v>
      </c>
      <c r="D6" s="282" t="s">
        <v>98</v>
      </c>
      <c r="E6" s="283"/>
      <c r="F6" s="279">
        <f>Orçamento!H132</f>
        <v>0</v>
      </c>
      <c r="G6" s="280"/>
      <c r="I6" s="150"/>
    </row>
    <row r="7" spans="1:8" ht="12.75">
      <c r="A7" s="281" t="str">
        <f>'P. BDI'!B5</f>
        <v>Tomador: </v>
      </c>
      <c r="B7" s="281"/>
      <c r="C7" s="149" t="str">
        <f>'P. BDI'!C5:F5</f>
        <v>Prefeitura Municipal de Dois Vizinhos - PR</v>
      </c>
      <c r="D7" s="282" t="s">
        <v>81</v>
      </c>
      <c r="E7" s="283"/>
      <c r="F7" s="279">
        <f>F6/F5</f>
        <v>0</v>
      </c>
      <c r="G7" s="280"/>
      <c r="H7" s="151"/>
    </row>
    <row r="8" spans="1:8" ht="12.75">
      <c r="A8" s="281" t="str">
        <f>'P. BDI'!B6</f>
        <v>Empreendimento: </v>
      </c>
      <c r="B8" s="281"/>
      <c r="C8" s="149" t="str">
        <f>'P. BDI'!C6:F6</f>
        <v>chuveiros e reservatorio d'agua </v>
      </c>
      <c r="D8" s="148"/>
      <c r="E8" s="152"/>
      <c r="F8" s="152"/>
      <c r="G8" s="152"/>
      <c r="H8" s="151"/>
    </row>
    <row r="9" spans="1:8" ht="12.75">
      <c r="A9" s="281" t="str">
        <f>'P. BDI'!B7</f>
        <v>Local da Obra:</v>
      </c>
      <c r="B9" s="281"/>
      <c r="C9" s="149" t="str">
        <f>'P. BDI'!C7:F7</f>
        <v>Parque de Exposições</v>
      </c>
      <c r="D9" s="148"/>
      <c r="E9" s="152"/>
      <c r="F9" s="152"/>
      <c r="G9" s="152"/>
      <c r="H9" s="151"/>
    </row>
    <row r="10" spans="1:8" ht="12.75">
      <c r="A10" s="281" t="str">
        <f>'P. BDI'!B8</f>
        <v>Empresa Prop.:</v>
      </c>
      <c r="B10" s="281"/>
      <c r="C10" s="94" t="str">
        <f>'P. BDI'!C8:F8</f>
        <v>xxxxxxxxxxxxxx</v>
      </c>
      <c r="D10" s="148"/>
      <c r="E10" s="152"/>
      <c r="F10" s="152"/>
      <c r="G10" s="152"/>
      <c r="H10" s="151"/>
    </row>
    <row r="11" spans="1:8" ht="12.75">
      <c r="A11" s="281" t="str">
        <f>'P. BDI'!B9</f>
        <v>CNPJ:</v>
      </c>
      <c r="B11" s="281"/>
      <c r="C11" s="94" t="str">
        <f>'P. BDI'!C9:F9</f>
        <v>xxxxxxxxxxxxxx</v>
      </c>
      <c r="D11" s="148"/>
      <c r="E11" s="148"/>
      <c r="F11" s="153"/>
      <c r="G11" s="154"/>
      <c r="H11" s="119"/>
    </row>
    <row r="12" spans="1:8" ht="12.75">
      <c r="A12" s="281" t="str">
        <f>'P. BDI'!B10</f>
        <v>Data Base:</v>
      </c>
      <c r="B12" s="281"/>
      <c r="C12" s="95" t="str">
        <f>'P. BDI'!C10:F10</f>
        <v>xxxxxxxxxxxxxx</v>
      </c>
      <c r="D12" s="148"/>
      <c r="E12" s="148"/>
      <c r="F12" s="153"/>
      <c r="G12" s="154"/>
      <c r="H12" s="119"/>
    </row>
    <row r="13" spans="1:8" ht="12.75">
      <c r="A13" s="281" t="s">
        <v>123</v>
      </c>
      <c r="B13" s="281"/>
      <c r="C13" s="155">
        <f>'P. BDI'!F34</f>
        <v>0.04709999999999992</v>
      </c>
      <c r="D13" s="152"/>
      <c r="E13" s="152"/>
      <c r="F13" s="152"/>
      <c r="G13" s="152"/>
      <c r="H13" s="151"/>
    </row>
    <row r="14" spans="1:8" ht="12.75">
      <c r="A14" s="156"/>
      <c r="B14" s="157"/>
      <c r="C14" s="158"/>
      <c r="D14" s="151"/>
      <c r="E14" s="151"/>
      <c r="F14" s="151"/>
      <c r="G14" s="151"/>
      <c r="H14" s="151"/>
    </row>
    <row r="15" spans="1:8" ht="12.75">
      <c r="A15" s="156"/>
      <c r="B15" s="157"/>
      <c r="C15" s="158"/>
      <c r="D15" s="151"/>
      <c r="E15" s="151"/>
      <c r="F15" s="151"/>
      <c r="G15" s="151"/>
      <c r="H15" s="151"/>
    </row>
    <row r="16" spans="1:8" ht="12.75">
      <c r="A16" s="156"/>
      <c r="B16" s="157"/>
      <c r="C16" s="158"/>
      <c r="D16" s="151"/>
      <c r="E16" s="151"/>
      <c r="F16" s="151"/>
      <c r="G16" s="151"/>
      <c r="H16" s="151"/>
    </row>
    <row r="17" spans="1:8" ht="12.75">
      <c r="A17" s="156"/>
      <c r="B17" s="157"/>
      <c r="C17" s="158"/>
      <c r="D17" s="151"/>
      <c r="E17" s="151"/>
      <c r="F17" s="151"/>
      <c r="G17" s="151"/>
      <c r="H17" s="151"/>
    </row>
    <row r="18" spans="1:8" ht="12.75">
      <c r="A18" s="156"/>
      <c r="B18" s="157"/>
      <c r="C18" s="158"/>
      <c r="D18" s="151"/>
      <c r="E18" s="151"/>
      <c r="F18" s="151"/>
      <c r="G18" s="151"/>
      <c r="H18" s="151"/>
    </row>
    <row r="19" spans="1:8" ht="12.75">
      <c r="A19" s="156"/>
      <c r="B19" s="157"/>
      <c r="C19" s="158"/>
      <c r="D19" s="151"/>
      <c r="E19" s="151"/>
      <c r="F19" s="151"/>
      <c r="G19" s="151"/>
      <c r="H19" s="151"/>
    </row>
    <row r="20" spans="1:8" ht="12.75">
      <c r="A20" s="156"/>
      <c r="B20" s="157"/>
      <c r="C20" s="158"/>
      <c r="D20" s="151"/>
      <c r="E20" s="151"/>
      <c r="F20" s="151"/>
      <c r="G20" s="151"/>
      <c r="H20" s="151"/>
    </row>
    <row r="21" spans="1:8" ht="12.75">
      <c r="A21" s="156"/>
      <c r="B21" s="157"/>
      <c r="C21" s="158"/>
      <c r="D21" s="151"/>
      <c r="E21" s="151"/>
      <c r="F21" s="151"/>
      <c r="G21" s="151"/>
      <c r="H21" s="151"/>
    </row>
    <row r="22" spans="2:8" ht="12.75">
      <c r="B22" s="159" t="s">
        <v>73</v>
      </c>
      <c r="C22" s="159" t="s">
        <v>97</v>
      </c>
      <c r="D22" s="272" t="s">
        <v>100</v>
      </c>
      <c r="E22" s="272"/>
      <c r="F22" s="272" t="s">
        <v>99</v>
      </c>
      <c r="G22" s="272"/>
      <c r="H22" s="159" t="s">
        <v>101</v>
      </c>
    </row>
    <row r="23" spans="2:8" ht="12.75">
      <c r="B23" s="160">
        <f>Orçamento!A17</f>
        <v>1</v>
      </c>
      <c r="C23" s="92" t="str">
        <f>Orçamento!C17</f>
        <v>SERVIÇOS PRELIMINARES</v>
      </c>
      <c r="D23" s="278" t="e">
        <f>F23/$F$6</f>
        <v>#DIV/0!</v>
      </c>
      <c r="E23" s="278"/>
      <c r="F23" s="277">
        <f>Orçamento!H17</f>
        <v>0</v>
      </c>
      <c r="G23" s="277"/>
      <c r="H23" s="163">
        <f>F23</f>
        <v>0</v>
      </c>
    </row>
    <row r="24" spans="2:8" ht="12.75">
      <c r="B24" s="164">
        <f>Orçamento!A22</f>
        <v>2</v>
      </c>
      <c r="C24" s="90" t="str">
        <f>Orçamento!C22</f>
        <v>ESTRUTURAS DE CONCRETO ARMADO </v>
      </c>
      <c r="D24" s="278" t="e">
        <f aca="true" t="shared" si="0" ref="D24:D30">F24/$F$6</f>
        <v>#DIV/0!</v>
      </c>
      <c r="E24" s="278"/>
      <c r="F24" s="273">
        <f>Orçamento!H22</f>
        <v>0</v>
      </c>
      <c r="G24" s="273"/>
      <c r="H24" s="163">
        <f>H23+F24</f>
        <v>0</v>
      </c>
    </row>
    <row r="25" spans="2:8" ht="12.75">
      <c r="B25" s="164">
        <f>Orçamento!A36</f>
        <v>3</v>
      </c>
      <c r="C25" s="90" t="str">
        <f>Orçamento!C36</f>
        <v>ALVENARIAS, REVESTIMENTO ARGAMASSADOS E CERÂMICOS</v>
      </c>
      <c r="D25" s="278" t="e">
        <f t="shared" si="0"/>
        <v>#DIV/0!</v>
      </c>
      <c r="E25" s="278"/>
      <c r="F25" s="273">
        <f>Orçamento!H36</f>
        <v>0</v>
      </c>
      <c r="G25" s="273"/>
      <c r="H25" s="163">
        <f aca="true" t="shared" si="1" ref="H25:H31">H24+F25</f>
        <v>0</v>
      </c>
    </row>
    <row r="26" spans="2:8" ht="12.75">
      <c r="B26" s="164">
        <f>Orçamento!A53</f>
        <v>4</v>
      </c>
      <c r="C26" s="90" t="str">
        <f>Orçamento!C53</f>
        <v>COBERTURA</v>
      </c>
      <c r="D26" s="278" t="e">
        <f t="shared" si="0"/>
        <v>#DIV/0!</v>
      </c>
      <c r="E26" s="278"/>
      <c r="F26" s="273">
        <f>Orçamento!H53</f>
        <v>0</v>
      </c>
      <c r="G26" s="273"/>
      <c r="H26" s="163">
        <f t="shared" si="1"/>
        <v>0</v>
      </c>
    </row>
    <row r="27" spans="2:8" ht="12.75">
      <c r="B27" s="164">
        <f>Orçamento!A60</f>
        <v>5</v>
      </c>
      <c r="C27" s="90" t="str">
        <f>Orçamento!C60</f>
        <v>ESQUADRIAS E DIVISORIAS</v>
      </c>
      <c r="D27" s="278" t="e">
        <f t="shared" si="0"/>
        <v>#DIV/0!</v>
      </c>
      <c r="E27" s="278"/>
      <c r="F27" s="273">
        <f>Orçamento!H60</f>
        <v>0</v>
      </c>
      <c r="G27" s="273"/>
      <c r="H27" s="163">
        <f t="shared" si="1"/>
        <v>0</v>
      </c>
    </row>
    <row r="28" spans="2:8" ht="12.75">
      <c r="B28" s="164">
        <f>Orçamento!A65</f>
        <v>6</v>
      </c>
      <c r="C28" s="90" t="str">
        <f>Orçamento!C65</f>
        <v>HIDROSANITARIO</v>
      </c>
      <c r="D28" s="278" t="e">
        <f t="shared" si="0"/>
        <v>#DIV/0!</v>
      </c>
      <c r="E28" s="278"/>
      <c r="F28" s="273">
        <f>Orçamento!H65</f>
        <v>0</v>
      </c>
      <c r="G28" s="273"/>
      <c r="H28" s="163">
        <f t="shared" si="1"/>
        <v>0</v>
      </c>
    </row>
    <row r="29" spans="2:8" ht="12.75">
      <c r="B29" s="164">
        <f>Orçamento!A92</f>
        <v>7</v>
      </c>
      <c r="C29" s="90" t="str">
        <f>Orçamento!C92</f>
        <v>ELÉTRICO</v>
      </c>
      <c r="D29" s="278" t="e">
        <f t="shared" si="0"/>
        <v>#DIV/0!</v>
      </c>
      <c r="E29" s="278"/>
      <c r="F29" s="273">
        <f>Orçamento!H92</f>
        <v>0</v>
      </c>
      <c r="G29" s="273"/>
      <c r="H29" s="163">
        <f t="shared" si="1"/>
        <v>0</v>
      </c>
    </row>
    <row r="30" spans="2:8" ht="12.75">
      <c r="B30" s="164">
        <f>Orçamento!A113</f>
        <v>8</v>
      </c>
      <c r="C30" s="90" t="str">
        <f>Orçamento!C113</f>
        <v>PINTURA</v>
      </c>
      <c r="D30" s="278" t="e">
        <f t="shared" si="0"/>
        <v>#DIV/0!</v>
      </c>
      <c r="E30" s="278"/>
      <c r="F30" s="273">
        <f>Orçamento!H113</f>
        <v>0</v>
      </c>
      <c r="G30" s="273"/>
      <c r="H30" s="163">
        <f t="shared" si="1"/>
        <v>0</v>
      </c>
    </row>
    <row r="31" spans="2:8" ht="12.75">
      <c r="B31" s="164">
        <f>Orçamento!A120</f>
        <v>7</v>
      </c>
      <c r="C31" s="90" t="str">
        <f>Orçamento!C120</f>
        <v>URBANIZAÇÃO </v>
      </c>
      <c r="D31" s="278" t="e">
        <f>F31/$F$6</f>
        <v>#DIV/0!</v>
      </c>
      <c r="E31" s="278"/>
      <c r="F31" s="273">
        <f>Orçamento!H120</f>
        <v>0</v>
      </c>
      <c r="G31" s="273"/>
      <c r="H31" s="163">
        <f t="shared" si="1"/>
        <v>0</v>
      </c>
    </row>
    <row r="32" spans="2:8" ht="12.75">
      <c r="B32" s="164"/>
      <c r="C32" s="90"/>
      <c r="D32" s="274"/>
      <c r="E32" s="274"/>
      <c r="F32" s="273"/>
      <c r="G32" s="273"/>
      <c r="H32" s="163"/>
    </row>
    <row r="33" spans="2:8" ht="12.75">
      <c r="B33" s="164"/>
      <c r="C33" s="90"/>
      <c r="D33" s="274"/>
      <c r="E33" s="274"/>
      <c r="F33" s="273"/>
      <c r="G33" s="273"/>
      <c r="H33" s="163"/>
    </row>
    <row r="34" spans="2:8" ht="12.75">
      <c r="B34" s="164"/>
      <c r="C34" s="90"/>
      <c r="D34" s="274"/>
      <c r="E34" s="274"/>
      <c r="F34" s="273"/>
      <c r="G34" s="273"/>
      <c r="H34" s="167"/>
    </row>
    <row r="35" spans="2:8" ht="12.75">
      <c r="B35" s="164"/>
      <c r="C35" s="90"/>
      <c r="D35" s="274"/>
      <c r="E35" s="274"/>
      <c r="F35" s="273"/>
      <c r="G35" s="273"/>
      <c r="H35" s="167"/>
    </row>
    <row r="36" spans="2:8" ht="12.75">
      <c r="B36" s="164"/>
      <c r="C36" s="90"/>
      <c r="D36" s="274"/>
      <c r="E36" s="274"/>
      <c r="F36" s="273"/>
      <c r="G36" s="273"/>
      <c r="H36" s="167"/>
    </row>
    <row r="37" spans="2:8" ht="12.75">
      <c r="B37" s="168"/>
      <c r="C37" s="91"/>
      <c r="D37" s="275"/>
      <c r="E37" s="275"/>
      <c r="F37" s="270"/>
      <c r="G37" s="270"/>
      <c r="H37" s="169"/>
    </row>
    <row r="38" spans="2:8" ht="12.75">
      <c r="B38" s="269" t="s">
        <v>102</v>
      </c>
      <c r="C38" s="269"/>
      <c r="D38" s="276" t="e">
        <f>SUM(D23:E36)</f>
        <v>#DIV/0!</v>
      </c>
      <c r="E38" s="272"/>
      <c r="F38" s="271">
        <f>SUM(F23:G36)</f>
        <v>0</v>
      </c>
      <c r="G38" s="272"/>
      <c r="H38" s="170">
        <f>H36</f>
        <v>0</v>
      </c>
    </row>
    <row r="42" ht="13.5" customHeight="1"/>
    <row r="44" spans="3:7" ht="12.75">
      <c r="C44" s="171"/>
      <c r="D44" s="138" t="s">
        <v>117</v>
      </c>
      <c r="E44" s="106"/>
      <c r="F44" s="144"/>
      <c r="G44" s="142"/>
    </row>
    <row r="45" spans="3:7" ht="12.75">
      <c r="C45" s="171"/>
      <c r="D45" s="139" t="s">
        <v>118</v>
      </c>
      <c r="E45" s="143"/>
      <c r="F45" s="142"/>
      <c r="G45" s="142"/>
    </row>
    <row r="46" spans="3:5" ht="12.75">
      <c r="C46" s="88"/>
      <c r="D46" s="140"/>
      <c r="E46" s="88"/>
    </row>
    <row r="47" spans="3:5" ht="12.75">
      <c r="C47" s="88"/>
      <c r="D47" s="140"/>
      <c r="E47" s="88"/>
    </row>
    <row r="48" spans="3:5" ht="12.75">
      <c r="C48" s="110"/>
      <c r="D48" s="85"/>
      <c r="E48" s="110"/>
    </row>
    <row r="49" spans="3:5" ht="12.75">
      <c r="C49" s="110"/>
      <c r="D49" s="110"/>
      <c r="E49" s="110"/>
    </row>
    <row r="50" spans="3:7" ht="12.75">
      <c r="C50" s="171"/>
      <c r="D50" s="138" t="s">
        <v>133</v>
      </c>
      <c r="E50" s="106"/>
      <c r="F50" s="144"/>
      <c r="G50" s="142"/>
    </row>
    <row r="51" spans="3:7" ht="12.75">
      <c r="C51" s="171"/>
      <c r="D51" s="139" t="s">
        <v>61</v>
      </c>
      <c r="E51" s="143"/>
      <c r="F51" s="142"/>
      <c r="G51" s="142"/>
    </row>
  </sheetData>
  <sheetProtection password="C637" sheet="1" selectLockedCells="1"/>
  <mergeCells count="51">
    <mergeCell ref="F29:G29"/>
    <mergeCell ref="F30:G30"/>
    <mergeCell ref="D28:E28"/>
    <mergeCell ref="D29:E29"/>
    <mergeCell ref="D30:E30"/>
    <mergeCell ref="A7:B7"/>
    <mergeCell ref="A8:B8"/>
    <mergeCell ref="A9:B9"/>
    <mergeCell ref="A10:B10"/>
    <mergeCell ref="A11:B11"/>
    <mergeCell ref="A2:H3"/>
    <mergeCell ref="A5:B5"/>
    <mergeCell ref="D5:E5"/>
    <mergeCell ref="F5:G5"/>
    <mergeCell ref="A6:B6"/>
    <mergeCell ref="D6:E6"/>
    <mergeCell ref="F6:G6"/>
    <mergeCell ref="A12:B12"/>
    <mergeCell ref="D33:E33"/>
    <mergeCell ref="D34:E34"/>
    <mergeCell ref="A13:B13"/>
    <mergeCell ref="D35:E35"/>
    <mergeCell ref="D7:E7"/>
    <mergeCell ref="D32:E32"/>
    <mergeCell ref="F7:G7"/>
    <mergeCell ref="D22:E22"/>
    <mergeCell ref="D23:E23"/>
    <mergeCell ref="D25:E25"/>
    <mergeCell ref="D26:E26"/>
    <mergeCell ref="D24:E24"/>
    <mergeCell ref="F24:G24"/>
    <mergeCell ref="F28:G28"/>
    <mergeCell ref="D37:E37"/>
    <mergeCell ref="D38:E38"/>
    <mergeCell ref="F22:G22"/>
    <mergeCell ref="F23:G23"/>
    <mergeCell ref="F25:G25"/>
    <mergeCell ref="F26:G26"/>
    <mergeCell ref="F27:G27"/>
    <mergeCell ref="D27:E27"/>
    <mergeCell ref="D31:E31"/>
    <mergeCell ref="B38:C38"/>
    <mergeCell ref="F37:G37"/>
    <mergeCell ref="F38:G38"/>
    <mergeCell ref="F31:G31"/>
    <mergeCell ref="F32:G32"/>
    <mergeCell ref="F33:G33"/>
    <mergeCell ref="F34:G34"/>
    <mergeCell ref="F35:G35"/>
    <mergeCell ref="F36:G36"/>
    <mergeCell ref="D36:E36"/>
  </mergeCells>
  <conditionalFormatting sqref="C26:C37 C23">
    <cfRule type="expression" priority="4" dxfId="49" stopIfTrue="1">
      <formula>$J23=1</formula>
    </cfRule>
    <cfRule type="expression" priority="5" dxfId="50" stopIfTrue="1">
      <formula>$K23=2</formula>
    </cfRule>
    <cfRule type="expression" priority="6" dxfId="51" stopIfTrue="1">
      <formula>$K23=3</formula>
    </cfRule>
  </conditionalFormatting>
  <conditionalFormatting sqref="C25">
    <cfRule type="expression" priority="10" dxfId="49" stopIfTrue="1">
      <formula>$J24=1</formula>
    </cfRule>
    <cfRule type="expression" priority="11" dxfId="50" stopIfTrue="1">
      <formula>$K24=2</formula>
    </cfRule>
    <cfRule type="expression" priority="12" dxfId="51" stopIfTrue="1">
      <formula>$K24=3</formula>
    </cfRule>
  </conditionalFormatting>
  <conditionalFormatting sqref="C24">
    <cfRule type="expression" priority="1" dxfId="49" stopIfTrue="1">
      <formula>$J24=1</formula>
    </cfRule>
    <cfRule type="expression" priority="2" dxfId="50" stopIfTrue="1">
      <formula>$K24=2</formula>
    </cfRule>
    <cfRule type="expression" priority="3" dxfId="51" stopIfTrue="1">
      <formula>$K24=3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8.00390625" style="218" customWidth="1"/>
    <col min="2" max="2" width="12.140625" style="145" customWidth="1"/>
    <col min="3" max="3" width="54.140625" style="145" customWidth="1"/>
    <col min="4" max="4" width="6.28125" style="145" customWidth="1"/>
    <col min="5" max="5" width="10.7109375" style="145" bestFit="1" customWidth="1"/>
    <col min="6" max="6" width="10.7109375" style="145" customWidth="1"/>
    <col min="7" max="7" width="11.7109375" style="145" customWidth="1"/>
    <col min="8" max="8" width="13.140625" style="145" customWidth="1"/>
    <col min="9" max="9" width="9.140625" style="145" customWidth="1"/>
    <col min="10" max="10" width="28.7109375" style="145" customWidth="1"/>
    <col min="11" max="16384" width="9.140625" style="145" customWidth="1"/>
  </cols>
  <sheetData>
    <row r="1" ht="32.25" customHeight="1">
      <c r="A1" s="182" t="s">
        <v>67</v>
      </c>
    </row>
    <row r="2" spans="1:8" ht="12.75" customHeight="1">
      <c r="A2" s="284" t="s">
        <v>69</v>
      </c>
      <c r="B2" s="284"/>
      <c r="C2" s="284"/>
      <c r="D2" s="284"/>
      <c r="E2" s="284"/>
      <c r="F2" s="284"/>
      <c r="G2" s="284"/>
      <c r="H2" s="284"/>
    </row>
    <row r="3" spans="1:8" ht="15" customHeight="1">
      <c r="A3" s="284"/>
      <c r="B3" s="284"/>
      <c r="C3" s="284"/>
      <c r="D3" s="284"/>
      <c r="E3" s="284"/>
      <c r="F3" s="284"/>
      <c r="G3" s="284"/>
      <c r="H3" s="284"/>
    </row>
    <row r="4" spans="1:8" ht="12.75" customHeight="1">
      <c r="A4" s="147"/>
      <c r="B4" s="147"/>
      <c r="C4" s="147"/>
      <c r="D4" s="147"/>
      <c r="E4" s="147"/>
      <c r="F4" s="147"/>
      <c r="G4" s="147"/>
      <c r="H4" s="147"/>
    </row>
    <row r="5" spans="1:7" ht="15.75" customHeight="1">
      <c r="A5" s="281" t="str">
        <f>QCI!A5</f>
        <v>Edital :</v>
      </c>
      <c r="B5" s="281"/>
      <c r="C5" s="94" t="str">
        <f>QCI!C5</f>
        <v>TP -xxx</v>
      </c>
      <c r="D5" s="148" t="s">
        <v>119</v>
      </c>
      <c r="E5" s="287">
        <f>QCI!F5</f>
        <v>26.52</v>
      </c>
      <c r="F5" s="288"/>
      <c r="G5" s="289"/>
    </row>
    <row r="6" spans="1:7" ht="12.75" customHeight="1">
      <c r="A6" s="281" t="str">
        <f>QCI!A6</f>
        <v>N° Contrato de Repasse:</v>
      </c>
      <c r="B6" s="281"/>
      <c r="C6" s="149" t="str">
        <f>QCI!C6</f>
        <v>Recursos proprios</v>
      </c>
      <c r="D6" s="148" t="s">
        <v>81</v>
      </c>
      <c r="E6" s="279">
        <f>H132/E5</f>
        <v>0</v>
      </c>
      <c r="F6" s="290"/>
      <c r="G6" s="280"/>
    </row>
    <row r="7" spans="1:8" ht="12.75">
      <c r="A7" s="281" t="str">
        <f>QCI!A7</f>
        <v>Tomador: </v>
      </c>
      <c r="B7" s="281"/>
      <c r="C7" s="149" t="str">
        <f>QCI!C7</f>
        <v>Prefeitura Municipal de Dois Vizinhos - PR</v>
      </c>
      <c r="D7" s="148"/>
      <c r="E7" s="152"/>
      <c r="F7" s="152"/>
      <c r="G7" s="152"/>
      <c r="H7" s="151"/>
    </row>
    <row r="8" spans="1:8" ht="12.75">
      <c r="A8" s="281" t="str">
        <f>QCI!A8</f>
        <v>Empreendimento: </v>
      </c>
      <c r="B8" s="281"/>
      <c r="C8" s="149" t="str">
        <f>QCI!C8</f>
        <v>chuveiros e reservatorio d'agua </v>
      </c>
      <c r="D8" s="148"/>
      <c r="E8" s="152"/>
      <c r="F8" s="152"/>
      <c r="G8" s="152"/>
      <c r="H8" s="151"/>
    </row>
    <row r="9" spans="1:8" ht="12.75">
      <c r="A9" s="281" t="str">
        <f>QCI!A9</f>
        <v>Local da Obra:</v>
      </c>
      <c r="B9" s="281"/>
      <c r="C9" s="149" t="str">
        <f>QCI!C9</f>
        <v>Parque de Exposições</v>
      </c>
      <c r="D9" s="148"/>
      <c r="E9" s="152"/>
      <c r="F9" s="152"/>
      <c r="G9" s="152"/>
      <c r="H9" s="151"/>
    </row>
    <row r="10" spans="1:8" ht="12.75" customHeight="1">
      <c r="A10" s="281" t="str">
        <f>QCI!A10</f>
        <v>Empresa Prop.:</v>
      </c>
      <c r="B10" s="281"/>
      <c r="C10" s="94" t="str">
        <f>QCI!C10</f>
        <v>xxxxxxxxxxxxxx</v>
      </c>
      <c r="D10" s="148"/>
      <c r="E10" s="152"/>
      <c r="F10" s="183"/>
      <c r="G10" s="183"/>
      <c r="H10" s="183"/>
    </row>
    <row r="11" spans="1:8" ht="12.75" customHeight="1">
      <c r="A11" s="281" t="str">
        <f>QCI!A11</f>
        <v>CNPJ:</v>
      </c>
      <c r="B11" s="281"/>
      <c r="C11" s="94" t="str">
        <f>QCI!C11</f>
        <v>xxxxxxxxxxxxxx</v>
      </c>
      <c r="D11" s="148"/>
      <c r="E11" s="153"/>
      <c r="F11" s="183"/>
      <c r="G11" s="183"/>
      <c r="H11" s="183"/>
    </row>
    <row r="12" spans="1:8" ht="12.75" customHeight="1">
      <c r="A12" s="281" t="str">
        <f>QCI!A12</f>
        <v>Data Base:</v>
      </c>
      <c r="B12" s="281"/>
      <c r="C12" s="95" t="str">
        <f>QCI!C12</f>
        <v>xxxxxxxxxxxxxx</v>
      </c>
      <c r="D12" s="148"/>
      <c r="E12" s="153"/>
      <c r="F12" s="183"/>
      <c r="G12" s="183"/>
      <c r="H12" s="183"/>
    </row>
    <row r="13" spans="1:8" ht="12.75" customHeight="1">
      <c r="A13" s="292" t="str">
        <f>QCI!A13</f>
        <v>BDI Adotado </v>
      </c>
      <c r="B13" s="292"/>
      <c r="C13" s="185">
        <f>QCI!C13</f>
        <v>0.04709999999999992</v>
      </c>
      <c r="D13" s="184"/>
      <c r="E13" s="186"/>
      <c r="F13" s="183"/>
      <c r="G13" s="183"/>
      <c r="H13" s="183"/>
    </row>
    <row r="14" spans="1:8" ht="12.75" customHeight="1">
      <c r="A14" s="187"/>
      <c r="B14" s="157"/>
      <c r="C14" s="158"/>
      <c r="D14" s="151"/>
      <c r="E14" s="151"/>
      <c r="F14" s="151"/>
      <c r="G14" s="151"/>
      <c r="H14" s="151"/>
    </row>
    <row r="15" spans="1:8" s="189" customFormat="1" ht="25.5" customHeight="1">
      <c r="A15" s="188" t="s">
        <v>73</v>
      </c>
      <c r="B15" s="188" t="s">
        <v>74</v>
      </c>
      <c r="C15" s="188" t="s">
        <v>75</v>
      </c>
      <c r="D15" s="188" t="s">
        <v>124</v>
      </c>
      <c r="E15" s="188" t="s">
        <v>76</v>
      </c>
      <c r="F15" s="188" t="s">
        <v>125</v>
      </c>
      <c r="G15" s="188" t="s">
        <v>77</v>
      </c>
      <c r="H15" s="188" t="s">
        <v>78</v>
      </c>
    </row>
    <row r="16" spans="1:8" s="189" customFormat="1" ht="14.25" customHeight="1">
      <c r="A16" s="190"/>
      <c r="B16" s="191"/>
      <c r="C16" s="191"/>
      <c r="D16" s="191"/>
      <c r="E16" s="191"/>
      <c r="F16" s="191"/>
      <c r="G16" s="191"/>
      <c r="H16" s="191"/>
    </row>
    <row r="17" spans="1:8" s="146" customFormat="1" ht="22.5">
      <c r="A17" s="192">
        <v>1</v>
      </c>
      <c r="B17" s="193" t="s">
        <v>247</v>
      </c>
      <c r="C17" s="194" t="s">
        <v>146</v>
      </c>
      <c r="D17" s="195"/>
      <c r="E17" s="196"/>
      <c r="F17" s="172"/>
      <c r="G17" s="197" t="s">
        <v>24</v>
      </c>
      <c r="H17" s="196">
        <f>SUM(H18:H21)</f>
        <v>0</v>
      </c>
    </row>
    <row r="18" spans="1:8" s="146" customFormat="1" ht="12.75">
      <c r="A18" s="198"/>
      <c r="B18" s="199"/>
      <c r="C18" s="92"/>
      <c r="D18" s="200"/>
      <c r="E18" s="201"/>
      <c r="F18" s="174"/>
      <c r="G18" s="202"/>
      <c r="H18" s="163"/>
    </row>
    <row r="19" spans="1:8" s="146" customFormat="1" ht="22.5">
      <c r="A19" s="198" t="s">
        <v>134</v>
      </c>
      <c r="B19" s="203" t="s">
        <v>128</v>
      </c>
      <c r="C19" s="92" t="s">
        <v>232</v>
      </c>
      <c r="D19" s="200" t="s">
        <v>13</v>
      </c>
      <c r="E19" s="162">
        <v>2.5</v>
      </c>
      <c r="F19" s="176"/>
      <c r="G19" s="202">
        <f>ROUND(F19+(F19*$C$13),2)</f>
        <v>0</v>
      </c>
      <c r="H19" s="163">
        <f>G19*E19</f>
        <v>0</v>
      </c>
    </row>
    <row r="20" spans="1:8" s="204" customFormat="1" ht="28.5" customHeight="1">
      <c r="A20" s="198" t="s">
        <v>135</v>
      </c>
      <c r="B20" s="199" t="s">
        <v>219</v>
      </c>
      <c r="C20" s="98" t="s">
        <v>218</v>
      </c>
      <c r="D20" s="200" t="s">
        <v>129</v>
      </c>
      <c r="E20" s="162">
        <v>25</v>
      </c>
      <c r="F20" s="176"/>
      <c r="G20" s="202">
        <f>ROUND(F20+(F20*$C$13),2)</f>
        <v>0</v>
      </c>
      <c r="H20" s="163">
        <f>G20*E20</f>
        <v>0</v>
      </c>
    </row>
    <row r="21" spans="1:8" s="146" customFormat="1" ht="12.75">
      <c r="A21" s="198"/>
      <c r="B21" s="199"/>
      <c r="C21" s="92"/>
      <c r="D21" s="200"/>
      <c r="E21" s="201"/>
      <c r="F21" s="174"/>
      <c r="G21" s="202"/>
      <c r="H21" s="163"/>
    </row>
    <row r="22" spans="1:8" s="146" customFormat="1" ht="22.5">
      <c r="A22" s="192">
        <v>2</v>
      </c>
      <c r="B22" s="193" t="s">
        <v>247</v>
      </c>
      <c r="C22" s="194" t="s">
        <v>202</v>
      </c>
      <c r="D22" s="195"/>
      <c r="E22" s="196"/>
      <c r="F22" s="172"/>
      <c r="G22" s="197" t="s">
        <v>24</v>
      </c>
      <c r="H22" s="196">
        <f>SUM(H23:H35)</f>
        <v>0</v>
      </c>
    </row>
    <row r="23" spans="1:8" s="146" customFormat="1" ht="12.75">
      <c r="A23" s="198"/>
      <c r="B23" s="203"/>
      <c r="C23" s="92"/>
      <c r="D23" s="200"/>
      <c r="E23" s="201"/>
      <c r="F23" s="174"/>
      <c r="G23" s="202"/>
      <c r="H23" s="163"/>
    </row>
    <row r="24" spans="1:8" s="146" customFormat="1" ht="12.75">
      <c r="A24" s="198"/>
      <c r="B24" s="203"/>
      <c r="C24" s="92" t="s">
        <v>147</v>
      </c>
      <c r="D24" s="200"/>
      <c r="E24" s="201"/>
      <c r="F24" s="174"/>
      <c r="G24" s="202"/>
      <c r="H24" s="163"/>
    </row>
    <row r="25" spans="1:8" s="146" customFormat="1" ht="12.75">
      <c r="A25" s="198"/>
      <c r="B25" s="203">
        <v>96523</v>
      </c>
      <c r="C25" s="92" t="s">
        <v>201</v>
      </c>
      <c r="D25" s="200" t="s">
        <v>72</v>
      </c>
      <c r="E25" s="162">
        <v>4.65</v>
      </c>
      <c r="F25" s="176"/>
      <c r="G25" s="162">
        <f aca="true" t="shared" si="0" ref="G25:G32">ROUND(F25+(F25*$C$13),2)</f>
        <v>0</v>
      </c>
      <c r="H25" s="205">
        <f aca="true" t="shared" si="1" ref="H25:H32">G25*E25</f>
        <v>0</v>
      </c>
    </row>
    <row r="26" spans="1:8" s="146" customFormat="1" ht="33.75">
      <c r="A26" s="198"/>
      <c r="B26" s="203">
        <v>92759</v>
      </c>
      <c r="C26" s="92" t="s">
        <v>148</v>
      </c>
      <c r="D26" s="200" t="s">
        <v>127</v>
      </c>
      <c r="E26" s="162">
        <v>133.5</v>
      </c>
      <c r="F26" s="176"/>
      <c r="G26" s="162">
        <f t="shared" si="0"/>
        <v>0</v>
      </c>
      <c r="H26" s="205">
        <f t="shared" si="1"/>
        <v>0</v>
      </c>
    </row>
    <row r="27" spans="1:8" s="146" customFormat="1" ht="33.75">
      <c r="A27" s="198"/>
      <c r="B27" s="203">
        <v>92760</v>
      </c>
      <c r="C27" s="92" t="s">
        <v>251</v>
      </c>
      <c r="D27" s="200" t="s">
        <v>127</v>
      </c>
      <c r="E27" s="162">
        <v>11.8</v>
      </c>
      <c r="F27" s="176"/>
      <c r="G27" s="162">
        <f>ROUND(F27+(F27*$C$13),2)</f>
        <v>0</v>
      </c>
      <c r="H27" s="205">
        <f>G27*E27</f>
        <v>0</v>
      </c>
    </row>
    <row r="28" spans="1:8" s="146" customFormat="1" ht="33.75">
      <c r="A28" s="198"/>
      <c r="B28" s="203">
        <v>92761</v>
      </c>
      <c r="C28" s="92" t="s">
        <v>149</v>
      </c>
      <c r="D28" s="200" t="s">
        <v>127</v>
      </c>
      <c r="E28" s="162">
        <v>33.95</v>
      </c>
      <c r="F28" s="176"/>
      <c r="G28" s="162">
        <f t="shared" si="0"/>
        <v>0</v>
      </c>
      <c r="H28" s="205">
        <f t="shared" si="1"/>
        <v>0</v>
      </c>
    </row>
    <row r="29" spans="1:8" s="146" customFormat="1" ht="33.75">
      <c r="A29" s="198"/>
      <c r="B29" s="203">
        <v>92762</v>
      </c>
      <c r="C29" s="92" t="s">
        <v>150</v>
      </c>
      <c r="D29" s="200" t="s">
        <v>127</v>
      </c>
      <c r="E29" s="162">
        <v>338.8</v>
      </c>
      <c r="F29" s="176"/>
      <c r="G29" s="162">
        <f t="shared" si="0"/>
        <v>0</v>
      </c>
      <c r="H29" s="205">
        <f t="shared" si="1"/>
        <v>0</v>
      </c>
    </row>
    <row r="30" spans="1:8" s="146" customFormat="1" ht="33.75">
      <c r="A30" s="198"/>
      <c r="B30" s="203">
        <v>92763</v>
      </c>
      <c r="C30" s="92" t="s">
        <v>153</v>
      </c>
      <c r="D30" s="200" t="s">
        <v>127</v>
      </c>
      <c r="E30" s="162">
        <v>246.06</v>
      </c>
      <c r="F30" s="176"/>
      <c r="G30" s="162">
        <f t="shared" si="0"/>
        <v>0</v>
      </c>
      <c r="H30" s="205">
        <f t="shared" si="1"/>
        <v>0</v>
      </c>
    </row>
    <row r="31" spans="1:8" s="146" customFormat="1" ht="33.75">
      <c r="A31" s="198"/>
      <c r="B31" s="203">
        <v>96536</v>
      </c>
      <c r="C31" s="92" t="s">
        <v>151</v>
      </c>
      <c r="D31" s="200" t="s">
        <v>13</v>
      </c>
      <c r="E31" s="162">
        <v>39.38</v>
      </c>
      <c r="F31" s="176"/>
      <c r="G31" s="162">
        <f t="shared" si="0"/>
        <v>0</v>
      </c>
      <c r="H31" s="205">
        <f t="shared" si="1"/>
        <v>0</v>
      </c>
    </row>
    <row r="32" spans="1:8" s="146" customFormat="1" ht="33.75">
      <c r="A32" s="198"/>
      <c r="B32" s="203">
        <v>90854</v>
      </c>
      <c r="C32" s="92" t="s">
        <v>152</v>
      </c>
      <c r="D32" s="200" t="s">
        <v>72</v>
      </c>
      <c r="E32" s="162">
        <v>6.45</v>
      </c>
      <c r="F32" s="176"/>
      <c r="G32" s="162">
        <f t="shared" si="0"/>
        <v>0</v>
      </c>
      <c r="H32" s="205">
        <f t="shared" si="1"/>
        <v>0</v>
      </c>
    </row>
    <row r="33" spans="1:8" s="146" customFormat="1" ht="12.75">
      <c r="A33" s="198"/>
      <c r="B33" s="203">
        <v>94041</v>
      </c>
      <c r="C33" s="92" t="s">
        <v>154</v>
      </c>
      <c r="D33" s="200" t="s">
        <v>13</v>
      </c>
      <c r="E33" s="162">
        <v>5.24</v>
      </c>
      <c r="F33" s="176"/>
      <c r="G33" s="162">
        <f>ROUND(F33+(F33*$C$13),2)</f>
        <v>0</v>
      </c>
      <c r="H33" s="205">
        <f>G33*E33</f>
        <v>0</v>
      </c>
    </row>
    <row r="34" spans="1:8" s="146" customFormat="1" ht="22.5">
      <c r="A34" s="198"/>
      <c r="B34" s="203" t="s">
        <v>230</v>
      </c>
      <c r="C34" s="92" t="s">
        <v>231</v>
      </c>
      <c r="D34" s="200" t="s">
        <v>13</v>
      </c>
      <c r="E34" s="162">
        <v>22.3</v>
      </c>
      <c r="F34" s="176"/>
      <c r="G34" s="162">
        <f>ROUND(F34+(F34*$C$13),2)</f>
        <v>0</v>
      </c>
      <c r="H34" s="205">
        <f>G34*E34</f>
        <v>0</v>
      </c>
    </row>
    <row r="35" spans="1:8" s="146" customFormat="1" ht="12.75">
      <c r="A35" s="198"/>
      <c r="B35" s="203"/>
      <c r="C35" s="92"/>
      <c r="D35" s="200"/>
      <c r="E35" s="201"/>
      <c r="F35" s="174"/>
      <c r="G35" s="202"/>
      <c r="H35" s="163"/>
    </row>
    <row r="36" spans="1:8" s="146" customFormat="1" ht="22.5">
      <c r="A36" s="192">
        <v>3</v>
      </c>
      <c r="B36" s="193" t="s">
        <v>247</v>
      </c>
      <c r="C36" s="194" t="s">
        <v>161</v>
      </c>
      <c r="D36" s="195"/>
      <c r="E36" s="196"/>
      <c r="F36" s="172"/>
      <c r="G36" s="197" t="s">
        <v>24</v>
      </c>
      <c r="H36" s="196">
        <f>SUM(H37:H51)</f>
        <v>0</v>
      </c>
    </row>
    <row r="37" spans="1:8" s="146" customFormat="1" ht="12.75">
      <c r="A37" s="198"/>
      <c r="B37" s="203"/>
      <c r="C37" s="92" t="s">
        <v>156</v>
      </c>
      <c r="D37" s="200"/>
      <c r="E37" s="201"/>
      <c r="F37" s="174"/>
      <c r="G37" s="202"/>
      <c r="H37" s="163"/>
    </row>
    <row r="38" spans="1:8" s="204" customFormat="1" ht="33.75">
      <c r="A38" s="198"/>
      <c r="B38" s="203" t="s">
        <v>219</v>
      </c>
      <c r="C38" s="98" t="s">
        <v>225</v>
      </c>
      <c r="D38" s="200" t="s">
        <v>13</v>
      </c>
      <c r="E38" s="162">
        <v>86.17</v>
      </c>
      <c r="F38" s="176"/>
      <c r="G38" s="162">
        <f>ROUND(F38+(F38*$C$13),2)</f>
        <v>0</v>
      </c>
      <c r="H38" s="205">
        <f>G38*E38</f>
        <v>0</v>
      </c>
    </row>
    <row r="39" spans="1:8" s="146" customFormat="1" ht="33.75">
      <c r="A39" s="198"/>
      <c r="B39" s="203">
        <v>87879</v>
      </c>
      <c r="C39" s="92" t="s">
        <v>155</v>
      </c>
      <c r="D39" s="200" t="s">
        <v>13</v>
      </c>
      <c r="E39" s="162">
        <v>163.05</v>
      </c>
      <c r="F39" s="176"/>
      <c r="G39" s="162">
        <f>ROUND(F39+(F39*$C$13),2)</f>
        <v>0</v>
      </c>
      <c r="H39" s="205">
        <f>G39*E39</f>
        <v>0</v>
      </c>
    </row>
    <row r="40" spans="1:8" s="146" customFormat="1" ht="45">
      <c r="A40" s="198"/>
      <c r="B40" s="203">
        <v>87535</v>
      </c>
      <c r="C40" s="92" t="s">
        <v>226</v>
      </c>
      <c r="D40" s="200" t="s">
        <v>13</v>
      </c>
      <c r="E40" s="162">
        <v>163.05</v>
      </c>
      <c r="F40" s="176"/>
      <c r="G40" s="162">
        <f>ROUND(F40+(F40*$C$13),2)</f>
        <v>0</v>
      </c>
      <c r="H40" s="205">
        <f>G40*E40</f>
        <v>0</v>
      </c>
    </row>
    <row r="41" spans="1:8" s="146" customFormat="1" ht="22.5">
      <c r="A41" s="198"/>
      <c r="B41" s="203">
        <v>93189</v>
      </c>
      <c r="C41" s="92" t="s">
        <v>193</v>
      </c>
      <c r="D41" s="200" t="s">
        <v>129</v>
      </c>
      <c r="E41" s="162">
        <v>25.2</v>
      </c>
      <c r="F41" s="176"/>
      <c r="G41" s="162">
        <f>ROUND(F41+(F41*$C$13),2)</f>
        <v>0</v>
      </c>
      <c r="H41" s="205">
        <f>G41*E41</f>
        <v>0</v>
      </c>
    </row>
    <row r="42" spans="1:8" s="146" customFormat="1" ht="12.75">
      <c r="A42" s="198"/>
      <c r="B42" s="203"/>
      <c r="C42" s="92"/>
      <c r="D42" s="200"/>
      <c r="E42" s="162"/>
      <c r="F42" s="176"/>
      <c r="G42" s="162"/>
      <c r="H42" s="205"/>
    </row>
    <row r="43" spans="1:8" s="146" customFormat="1" ht="12.75">
      <c r="A43" s="198"/>
      <c r="B43" s="203"/>
      <c r="C43" s="92" t="s">
        <v>159</v>
      </c>
      <c r="D43" s="200"/>
      <c r="E43" s="162"/>
      <c r="F43" s="176"/>
      <c r="G43" s="162"/>
      <c r="H43" s="205"/>
    </row>
    <row r="44" spans="1:8" s="146" customFormat="1" ht="22.5">
      <c r="A44" s="198"/>
      <c r="B44" s="203">
        <v>94097</v>
      </c>
      <c r="C44" s="92" t="s">
        <v>160</v>
      </c>
      <c r="D44" s="200" t="s">
        <v>13</v>
      </c>
      <c r="E44" s="162">
        <v>10.08</v>
      </c>
      <c r="F44" s="176"/>
      <c r="G44" s="162">
        <f>ROUND(F44+(F44*$C$13),2)</f>
        <v>0</v>
      </c>
      <c r="H44" s="205">
        <f>G44*E44</f>
        <v>0</v>
      </c>
    </row>
    <row r="45" spans="1:8" s="146" customFormat="1" ht="22.5">
      <c r="A45" s="198"/>
      <c r="B45" s="203">
        <v>4721</v>
      </c>
      <c r="C45" s="92" t="s">
        <v>194</v>
      </c>
      <c r="D45" s="200" t="s">
        <v>130</v>
      </c>
      <c r="E45" s="162">
        <v>0.504</v>
      </c>
      <c r="F45" s="176"/>
      <c r="G45" s="162">
        <f>ROUND(F45+(F45*$C$13),2)</f>
        <v>0</v>
      </c>
      <c r="H45" s="205">
        <f>G45*E45</f>
        <v>0</v>
      </c>
    </row>
    <row r="46" spans="1:8" s="146" customFormat="1" ht="33.75">
      <c r="A46" s="198"/>
      <c r="B46" s="203">
        <v>94991</v>
      </c>
      <c r="C46" s="92" t="s">
        <v>195</v>
      </c>
      <c r="D46" s="200" t="s">
        <v>72</v>
      </c>
      <c r="E46" s="162">
        <v>0.6048</v>
      </c>
      <c r="F46" s="176"/>
      <c r="G46" s="162">
        <f>ROUND(F46+(F46*$C$13),2)</f>
        <v>0</v>
      </c>
      <c r="H46" s="205">
        <f>G46*E46</f>
        <v>0</v>
      </c>
    </row>
    <row r="47" spans="1:8" s="146" customFormat="1" ht="12.75">
      <c r="A47" s="198"/>
      <c r="B47" s="203"/>
      <c r="C47" s="92"/>
      <c r="D47" s="200"/>
      <c r="E47" s="162"/>
      <c r="F47" s="176"/>
      <c r="G47" s="162"/>
      <c r="H47" s="205"/>
    </row>
    <row r="48" spans="1:8" s="146" customFormat="1" ht="12.75">
      <c r="A48" s="198"/>
      <c r="B48" s="203"/>
      <c r="C48" s="92" t="s">
        <v>157</v>
      </c>
      <c r="D48" s="200"/>
      <c r="E48" s="162"/>
      <c r="F48" s="176"/>
      <c r="G48" s="162"/>
      <c r="H48" s="205"/>
    </row>
    <row r="49" spans="1:8" s="146" customFormat="1" ht="33.75">
      <c r="A49" s="198"/>
      <c r="B49" s="203" t="s">
        <v>228</v>
      </c>
      <c r="C49" s="92" t="s">
        <v>229</v>
      </c>
      <c r="D49" s="200" t="s">
        <v>13</v>
      </c>
      <c r="E49" s="162">
        <v>10.08</v>
      </c>
      <c r="F49" s="176"/>
      <c r="G49" s="162">
        <f>ROUND(F49+(F49*$C$13),2)</f>
        <v>0</v>
      </c>
      <c r="H49" s="205">
        <f>G49*E49</f>
        <v>0</v>
      </c>
    </row>
    <row r="50" spans="1:8" s="146" customFormat="1" ht="22.5">
      <c r="A50" s="198"/>
      <c r="B50" s="203">
        <v>87265</v>
      </c>
      <c r="C50" s="92" t="s">
        <v>158</v>
      </c>
      <c r="D50" s="200" t="s">
        <v>13</v>
      </c>
      <c r="E50" s="162">
        <v>42.48</v>
      </c>
      <c r="F50" s="176"/>
      <c r="G50" s="162">
        <f>ROUND(F50+(F50*$C$13),2)</f>
        <v>0</v>
      </c>
      <c r="H50" s="205">
        <f>G50*E50</f>
        <v>0</v>
      </c>
    </row>
    <row r="51" spans="1:8" s="146" customFormat="1" ht="12.75">
      <c r="A51" s="198"/>
      <c r="B51" s="203"/>
      <c r="C51" s="92"/>
      <c r="D51" s="200"/>
      <c r="E51" s="162"/>
      <c r="F51" s="176"/>
      <c r="G51" s="162"/>
      <c r="H51" s="205"/>
    </row>
    <row r="52" spans="1:8" s="146" customFormat="1" ht="12.75">
      <c r="A52" s="198"/>
      <c r="B52" s="203"/>
      <c r="C52" s="92"/>
      <c r="D52" s="200"/>
      <c r="E52" s="162"/>
      <c r="F52" s="176"/>
      <c r="G52" s="162"/>
      <c r="H52" s="205"/>
    </row>
    <row r="53" spans="1:8" s="146" customFormat="1" ht="22.5">
      <c r="A53" s="192">
        <v>4</v>
      </c>
      <c r="B53" s="193" t="s">
        <v>247</v>
      </c>
      <c r="C53" s="194" t="s">
        <v>162</v>
      </c>
      <c r="D53" s="195"/>
      <c r="E53" s="196"/>
      <c r="F53" s="172"/>
      <c r="G53" s="197" t="s">
        <v>24</v>
      </c>
      <c r="H53" s="196">
        <f>SUM(H54:H59)</f>
        <v>0</v>
      </c>
    </row>
    <row r="54" spans="1:8" s="146" customFormat="1" ht="12.75">
      <c r="A54" s="198"/>
      <c r="B54" s="203"/>
      <c r="C54" s="92"/>
      <c r="D54" s="200"/>
      <c r="E54" s="162"/>
      <c r="F54" s="176"/>
      <c r="G54" s="162"/>
      <c r="H54" s="205"/>
    </row>
    <row r="55" spans="1:8" s="146" customFormat="1" ht="45">
      <c r="A55" s="198"/>
      <c r="B55" s="203">
        <v>94207</v>
      </c>
      <c r="C55" s="92" t="s">
        <v>163</v>
      </c>
      <c r="D55" s="200" t="s">
        <v>13</v>
      </c>
      <c r="E55" s="162">
        <v>29.07</v>
      </c>
      <c r="F55" s="176"/>
      <c r="G55" s="162">
        <f>ROUND(F55+(F55*$C$13),2)</f>
        <v>0</v>
      </c>
      <c r="H55" s="205">
        <f>G55*E55</f>
        <v>0</v>
      </c>
    </row>
    <row r="56" spans="1:8" s="146" customFormat="1" ht="33.75">
      <c r="A56" s="198"/>
      <c r="B56" s="203">
        <v>92565</v>
      </c>
      <c r="C56" s="92" t="s">
        <v>227</v>
      </c>
      <c r="D56" s="200" t="s">
        <v>13</v>
      </c>
      <c r="E56" s="162">
        <v>29.07</v>
      </c>
      <c r="F56" s="176"/>
      <c r="G56" s="162">
        <f>ROUND(F56+(F56*$C$13),2)</f>
        <v>0</v>
      </c>
      <c r="H56" s="205">
        <f>G56*E56</f>
        <v>0</v>
      </c>
    </row>
    <row r="57" spans="1:8" s="146" customFormat="1" ht="22.5">
      <c r="A57" s="198"/>
      <c r="B57" s="203">
        <v>96486</v>
      </c>
      <c r="C57" s="92" t="s">
        <v>196</v>
      </c>
      <c r="D57" s="200" t="s">
        <v>13</v>
      </c>
      <c r="E57" s="162">
        <v>25.83</v>
      </c>
      <c r="F57" s="176"/>
      <c r="G57" s="162">
        <f>ROUND(F57+(F57*$C$13),2)</f>
        <v>0</v>
      </c>
      <c r="H57" s="205">
        <f>G57*E57</f>
        <v>0</v>
      </c>
    </row>
    <row r="58" spans="1:8" s="146" customFormat="1" ht="22.5">
      <c r="A58" s="198"/>
      <c r="B58" s="203">
        <v>1113</v>
      </c>
      <c r="C58" s="92" t="s">
        <v>252</v>
      </c>
      <c r="D58" s="200" t="s">
        <v>143</v>
      </c>
      <c r="E58" s="162">
        <v>4</v>
      </c>
      <c r="F58" s="176"/>
      <c r="G58" s="162">
        <f>ROUND(F58+(F58*$C$13),2)</f>
        <v>0</v>
      </c>
      <c r="H58" s="205">
        <f>G58*E58</f>
        <v>0</v>
      </c>
    </row>
    <row r="59" spans="1:8" s="146" customFormat="1" ht="12.75">
      <c r="A59" s="198"/>
      <c r="B59" s="203"/>
      <c r="C59" s="92"/>
      <c r="D59" s="200"/>
      <c r="E59" s="162"/>
      <c r="F59" s="176"/>
      <c r="G59" s="162"/>
      <c r="H59" s="205"/>
    </row>
    <row r="60" spans="1:8" s="146" customFormat="1" ht="22.5">
      <c r="A60" s="192">
        <v>5</v>
      </c>
      <c r="B60" s="193" t="s">
        <v>247</v>
      </c>
      <c r="C60" s="194" t="s">
        <v>172</v>
      </c>
      <c r="D60" s="195"/>
      <c r="E60" s="196"/>
      <c r="F60" s="172"/>
      <c r="G60" s="197" t="s">
        <v>24</v>
      </c>
      <c r="H60" s="196">
        <f>SUM(H61:H64)</f>
        <v>0</v>
      </c>
    </row>
    <row r="61" spans="1:8" s="146" customFormat="1" ht="12.75">
      <c r="A61" s="198"/>
      <c r="B61" s="203"/>
      <c r="C61" s="92"/>
      <c r="D61" s="200"/>
      <c r="E61" s="162"/>
      <c r="F61" s="176"/>
      <c r="G61" s="162"/>
      <c r="H61" s="205"/>
    </row>
    <row r="62" spans="1:8" s="146" customFormat="1" ht="33.75">
      <c r="A62" s="198"/>
      <c r="B62" s="203">
        <v>94573</v>
      </c>
      <c r="C62" s="92" t="s">
        <v>233</v>
      </c>
      <c r="D62" s="200" t="s">
        <v>13</v>
      </c>
      <c r="E62" s="162">
        <v>2</v>
      </c>
      <c r="F62" s="176"/>
      <c r="G62" s="162">
        <f>ROUND(F62+(F62*$C$13),2)</f>
        <v>0</v>
      </c>
      <c r="H62" s="205">
        <f>G62*E62</f>
        <v>0</v>
      </c>
    </row>
    <row r="63" spans="1:8" s="146" customFormat="1" ht="22.5">
      <c r="A63" s="198"/>
      <c r="B63" s="203" t="s">
        <v>170</v>
      </c>
      <c r="C63" s="92" t="s">
        <v>171</v>
      </c>
      <c r="D63" s="200" t="s">
        <v>13</v>
      </c>
      <c r="E63" s="162">
        <v>5.88</v>
      </c>
      <c r="F63" s="176"/>
      <c r="G63" s="162">
        <f>ROUND(F63+(F63*$C$13),2)</f>
        <v>0</v>
      </c>
      <c r="H63" s="205">
        <f>G63*E63</f>
        <v>0</v>
      </c>
    </row>
    <row r="64" spans="1:8" s="146" customFormat="1" ht="12.75">
      <c r="A64" s="198"/>
      <c r="B64" s="203"/>
      <c r="C64" s="92"/>
      <c r="D64" s="200"/>
      <c r="E64" s="202"/>
      <c r="F64" s="175"/>
      <c r="G64" s="202"/>
      <c r="H64" s="163"/>
    </row>
    <row r="65" spans="1:8" s="146" customFormat="1" ht="22.5">
      <c r="A65" s="192">
        <v>6</v>
      </c>
      <c r="B65" s="193" t="s">
        <v>247</v>
      </c>
      <c r="C65" s="194" t="s">
        <v>165</v>
      </c>
      <c r="D65" s="195"/>
      <c r="E65" s="196"/>
      <c r="F65" s="172"/>
      <c r="G65" s="197" t="s">
        <v>24</v>
      </c>
      <c r="H65" s="196">
        <f>SUM(H66:H91)</f>
        <v>0</v>
      </c>
    </row>
    <row r="66" spans="1:8" s="146" customFormat="1" ht="12.75">
      <c r="A66" s="198"/>
      <c r="B66" s="203"/>
      <c r="C66" s="92" t="s">
        <v>173</v>
      </c>
      <c r="D66" s="200"/>
      <c r="E66" s="202"/>
      <c r="F66" s="175"/>
      <c r="G66" s="202"/>
      <c r="H66" s="163"/>
    </row>
    <row r="67" spans="1:8" s="146" customFormat="1" ht="12.75">
      <c r="A67" s="198"/>
      <c r="B67" s="203"/>
      <c r="C67" s="92" t="s">
        <v>168</v>
      </c>
      <c r="D67" s="200"/>
      <c r="E67" s="206"/>
      <c r="F67" s="175"/>
      <c r="G67" s="202"/>
      <c r="H67" s="163"/>
    </row>
    <row r="68" spans="1:8" s="146" customFormat="1" ht="45">
      <c r="A68" s="198"/>
      <c r="B68" s="203">
        <v>91785</v>
      </c>
      <c r="C68" s="92" t="s">
        <v>166</v>
      </c>
      <c r="D68" s="200" t="s">
        <v>129</v>
      </c>
      <c r="E68" s="202">
        <v>24.91</v>
      </c>
      <c r="F68" s="176"/>
      <c r="G68" s="162">
        <f>ROUND(F68+(F68*$C$13),2)</f>
        <v>0</v>
      </c>
      <c r="H68" s="205">
        <f>G68*E68</f>
        <v>0</v>
      </c>
    </row>
    <row r="69" spans="1:8" s="146" customFormat="1" ht="33.75">
      <c r="A69" s="198"/>
      <c r="B69" s="203">
        <v>91788</v>
      </c>
      <c r="C69" s="92" t="s">
        <v>167</v>
      </c>
      <c r="D69" s="200" t="s">
        <v>129</v>
      </c>
      <c r="E69" s="202">
        <v>44.35</v>
      </c>
      <c r="F69" s="176"/>
      <c r="G69" s="162">
        <f>ROUND(F69+(F69*$C$13),2)</f>
        <v>0</v>
      </c>
      <c r="H69" s="205">
        <f>G69*E69</f>
        <v>0</v>
      </c>
    </row>
    <row r="70" spans="1:8" s="146" customFormat="1" ht="12.75">
      <c r="A70" s="198"/>
      <c r="B70" s="203"/>
      <c r="C70" s="92" t="s">
        <v>169</v>
      </c>
      <c r="D70" s="200"/>
      <c r="E70" s="202"/>
      <c r="F70" s="176"/>
      <c r="G70" s="202"/>
      <c r="H70" s="163"/>
    </row>
    <row r="71" spans="1:8" s="146" customFormat="1" ht="33.75">
      <c r="A71" s="198"/>
      <c r="B71" s="203">
        <v>89985</v>
      </c>
      <c r="C71" s="92" t="s">
        <v>253</v>
      </c>
      <c r="D71" s="200" t="s">
        <v>164</v>
      </c>
      <c r="E71" s="202">
        <v>7</v>
      </c>
      <c r="F71" s="176"/>
      <c r="G71" s="162">
        <f aca="true" t="shared" si="2" ref="G71:G80">ROUND(F71+(F71*$C$13),2)</f>
        <v>0</v>
      </c>
      <c r="H71" s="205">
        <f aca="true" t="shared" si="3" ref="H71:H76">G71*E71</f>
        <v>0</v>
      </c>
    </row>
    <row r="72" spans="1:8" s="146" customFormat="1" ht="33.75">
      <c r="A72" s="198"/>
      <c r="B72" s="203">
        <v>94492</v>
      </c>
      <c r="C72" s="92" t="s">
        <v>254</v>
      </c>
      <c r="D72" s="200" t="s">
        <v>164</v>
      </c>
      <c r="E72" s="202">
        <v>8</v>
      </c>
      <c r="F72" s="176"/>
      <c r="G72" s="162">
        <f t="shared" si="2"/>
        <v>0</v>
      </c>
      <c r="H72" s="205">
        <f t="shared" si="3"/>
        <v>0</v>
      </c>
    </row>
    <row r="73" spans="1:8" s="146" customFormat="1" ht="12.75">
      <c r="A73" s="198"/>
      <c r="B73" s="203">
        <v>37104</v>
      </c>
      <c r="C73" s="92" t="s">
        <v>255</v>
      </c>
      <c r="D73" s="200" t="s">
        <v>139</v>
      </c>
      <c r="E73" s="202">
        <v>1</v>
      </c>
      <c r="F73" s="176"/>
      <c r="G73" s="162">
        <f t="shared" si="2"/>
        <v>0</v>
      </c>
      <c r="H73" s="205">
        <f t="shared" si="3"/>
        <v>0</v>
      </c>
    </row>
    <row r="74" spans="1:8" s="146" customFormat="1" ht="22.5">
      <c r="A74" s="198"/>
      <c r="B74" s="203">
        <v>11830</v>
      </c>
      <c r="C74" s="92" t="s">
        <v>256</v>
      </c>
      <c r="D74" s="200" t="s">
        <v>139</v>
      </c>
      <c r="E74" s="202">
        <v>1</v>
      </c>
      <c r="F74" s="176"/>
      <c r="G74" s="162">
        <f>ROUND(F74+(F74*$C$13),2)</f>
        <v>0</v>
      </c>
      <c r="H74" s="205">
        <f t="shared" si="3"/>
        <v>0</v>
      </c>
    </row>
    <row r="75" spans="1:8" s="146" customFormat="1" ht="45">
      <c r="A75" s="198"/>
      <c r="B75" s="203">
        <v>94703</v>
      </c>
      <c r="C75" s="92" t="s">
        <v>257</v>
      </c>
      <c r="D75" s="200" t="s">
        <v>164</v>
      </c>
      <c r="E75" s="202">
        <v>1</v>
      </c>
      <c r="F75" s="176"/>
      <c r="G75" s="162">
        <f>ROUND(F75+(F75*$C$13),2)</f>
        <v>0</v>
      </c>
      <c r="H75" s="205">
        <f t="shared" si="3"/>
        <v>0</v>
      </c>
    </row>
    <row r="76" spans="1:8" s="146" customFormat="1" ht="45">
      <c r="A76" s="198"/>
      <c r="B76" s="203">
        <v>94706</v>
      </c>
      <c r="C76" s="92" t="s">
        <v>258</v>
      </c>
      <c r="D76" s="200" t="s">
        <v>164</v>
      </c>
      <c r="E76" s="202">
        <v>6</v>
      </c>
      <c r="F76" s="176"/>
      <c r="G76" s="162">
        <f>ROUND(F76+(F76*$C$13),2)</f>
        <v>0</v>
      </c>
      <c r="H76" s="205">
        <f t="shared" si="3"/>
        <v>0</v>
      </c>
    </row>
    <row r="77" spans="1:8" s="146" customFormat="1" ht="12.75">
      <c r="A77" s="198"/>
      <c r="B77" s="203"/>
      <c r="C77" s="92" t="s">
        <v>174</v>
      </c>
      <c r="D77" s="200"/>
      <c r="E77" s="202"/>
      <c r="F77" s="176"/>
      <c r="G77" s="162"/>
      <c r="H77" s="205"/>
    </row>
    <row r="78" spans="1:8" s="146" customFormat="1" ht="22.5">
      <c r="A78" s="198"/>
      <c r="B78" s="203">
        <v>1368</v>
      </c>
      <c r="C78" s="92" t="s">
        <v>259</v>
      </c>
      <c r="D78" s="200" t="s">
        <v>139</v>
      </c>
      <c r="E78" s="202">
        <v>4</v>
      </c>
      <c r="F78" s="176"/>
      <c r="G78" s="162">
        <f t="shared" si="2"/>
        <v>0</v>
      </c>
      <c r="H78" s="205">
        <f>G78*E78</f>
        <v>0</v>
      </c>
    </row>
    <row r="79" spans="1:8" s="146" customFormat="1" ht="45">
      <c r="A79" s="198"/>
      <c r="B79" s="203">
        <v>86939</v>
      </c>
      <c r="C79" s="92" t="s">
        <v>260</v>
      </c>
      <c r="D79" s="200" t="s">
        <v>164</v>
      </c>
      <c r="E79" s="202">
        <v>2</v>
      </c>
      <c r="F79" s="176"/>
      <c r="G79" s="162">
        <f t="shared" si="2"/>
        <v>0</v>
      </c>
      <c r="H79" s="205">
        <f>G79*E79</f>
        <v>0</v>
      </c>
    </row>
    <row r="80" spans="1:8" s="146" customFormat="1" ht="22.5">
      <c r="A80" s="198"/>
      <c r="B80" s="203">
        <v>95545</v>
      </c>
      <c r="C80" s="92" t="s">
        <v>261</v>
      </c>
      <c r="D80" s="200" t="s">
        <v>164</v>
      </c>
      <c r="E80" s="202">
        <v>4</v>
      </c>
      <c r="F80" s="176"/>
      <c r="G80" s="162">
        <f t="shared" si="2"/>
        <v>0</v>
      </c>
      <c r="H80" s="205">
        <f>G80*E80</f>
        <v>0</v>
      </c>
    </row>
    <row r="81" spans="1:8" s="146" customFormat="1" ht="12.75">
      <c r="A81" s="198"/>
      <c r="B81" s="203"/>
      <c r="C81" s="92"/>
      <c r="D81" s="200"/>
      <c r="E81" s="202"/>
      <c r="F81" s="176"/>
      <c r="G81" s="162"/>
      <c r="H81" s="205"/>
    </row>
    <row r="82" spans="1:8" s="146" customFormat="1" ht="12.75">
      <c r="A82" s="198"/>
      <c r="B82" s="203"/>
      <c r="C82" s="92" t="s">
        <v>175</v>
      </c>
      <c r="D82" s="200"/>
      <c r="E82" s="202"/>
      <c r="F82" s="176"/>
      <c r="G82" s="162"/>
      <c r="H82" s="205"/>
    </row>
    <row r="83" spans="1:8" s="146" customFormat="1" ht="45">
      <c r="A83" s="198"/>
      <c r="B83" s="203">
        <v>91792</v>
      </c>
      <c r="C83" s="92" t="s">
        <v>176</v>
      </c>
      <c r="D83" s="200" t="s">
        <v>129</v>
      </c>
      <c r="E83" s="162">
        <v>4.22</v>
      </c>
      <c r="F83" s="176"/>
      <c r="G83" s="162">
        <f aca="true" t="shared" si="4" ref="G83:G89">ROUND(F83+(F83*$C$13),2)</f>
        <v>0</v>
      </c>
      <c r="H83" s="205">
        <f aca="true" t="shared" si="5" ref="H83:H89">G83*E83</f>
        <v>0</v>
      </c>
    </row>
    <row r="84" spans="1:8" s="146" customFormat="1" ht="45">
      <c r="A84" s="198"/>
      <c r="B84" s="203">
        <v>91793</v>
      </c>
      <c r="C84" s="92" t="s">
        <v>180</v>
      </c>
      <c r="D84" s="200" t="s">
        <v>129</v>
      </c>
      <c r="E84" s="162">
        <v>6.81</v>
      </c>
      <c r="F84" s="176"/>
      <c r="G84" s="162">
        <f t="shared" si="4"/>
        <v>0</v>
      </c>
      <c r="H84" s="205">
        <f t="shared" si="5"/>
        <v>0</v>
      </c>
    </row>
    <row r="85" spans="1:8" s="146" customFormat="1" ht="45">
      <c r="A85" s="198"/>
      <c r="B85" s="203">
        <v>91795</v>
      </c>
      <c r="C85" s="92" t="s">
        <v>177</v>
      </c>
      <c r="D85" s="200" t="s">
        <v>129</v>
      </c>
      <c r="E85" s="162">
        <v>10</v>
      </c>
      <c r="F85" s="176"/>
      <c r="G85" s="162">
        <f t="shared" si="4"/>
        <v>0</v>
      </c>
      <c r="H85" s="205">
        <f t="shared" si="5"/>
        <v>0</v>
      </c>
    </row>
    <row r="86" spans="1:8" s="146" customFormat="1" ht="22.5">
      <c r="A86" s="198"/>
      <c r="B86" s="203">
        <v>89707</v>
      </c>
      <c r="C86" s="92" t="s">
        <v>178</v>
      </c>
      <c r="D86" s="200" t="s">
        <v>164</v>
      </c>
      <c r="E86" s="162">
        <v>4</v>
      </c>
      <c r="F86" s="176"/>
      <c r="G86" s="162">
        <f t="shared" si="4"/>
        <v>0</v>
      </c>
      <c r="H86" s="205">
        <f t="shared" si="5"/>
        <v>0</v>
      </c>
    </row>
    <row r="87" spans="1:8" s="146" customFormat="1" ht="12.75">
      <c r="A87" s="198"/>
      <c r="B87" s="203"/>
      <c r="C87" s="92"/>
      <c r="D87" s="200"/>
      <c r="E87" s="202"/>
      <c r="F87" s="176"/>
      <c r="G87" s="162"/>
      <c r="H87" s="205"/>
    </row>
    <row r="88" spans="1:8" s="146" customFormat="1" ht="12.75">
      <c r="A88" s="198"/>
      <c r="B88" s="203"/>
      <c r="C88" s="92" t="s">
        <v>179</v>
      </c>
      <c r="D88" s="200"/>
      <c r="E88" s="202"/>
      <c r="F88" s="176"/>
      <c r="G88" s="162"/>
      <c r="H88" s="205"/>
    </row>
    <row r="89" spans="1:8" s="146" customFormat="1" ht="45">
      <c r="A89" s="198"/>
      <c r="B89" s="203">
        <v>83659</v>
      </c>
      <c r="C89" s="92" t="s">
        <v>262</v>
      </c>
      <c r="D89" s="200" t="s">
        <v>164</v>
      </c>
      <c r="E89" s="162">
        <v>2</v>
      </c>
      <c r="F89" s="176"/>
      <c r="G89" s="162">
        <f t="shared" si="4"/>
        <v>0</v>
      </c>
      <c r="H89" s="205">
        <f t="shared" si="5"/>
        <v>0</v>
      </c>
    </row>
    <row r="90" spans="1:8" s="146" customFormat="1" ht="12.75">
      <c r="A90" s="198"/>
      <c r="B90" s="203"/>
      <c r="C90" s="92"/>
      <c r="D90" s="200"/>
      <c r="E90" s="202"/>
      <c r="F90" s="175"/>
      <c r="G90" s="202"/>
      <c r="H90" s="163"/>
    </row>
    <row r="91" spans="1:8" s="146" customFormat="1" ht="12.75">
      <c r="A91" s="198"/>
      <c r="B91" s="203"/>
      <c r="C91" s="92"/>
      <c r="D91" s="200"/>
      <c r="E91" s="202"/>
      <c r="F91" s="175"/>
      <c r="G91" s="202"/>
      <c r="H91" s="163"/>
    </row>
    <row r="92" spans="1:8" s="146" customFormat="1" ht="22.5">
      <c r="A92" s="192">
        <v>7</v>
      </c>
      <c r="B92" s="193" t="s">
        <v>247</v>
      </c>
      <c r="C92" s="194" t="s">
        <v>181</v>
      </c>
      <c r="D92" s="195"/>
      <c r="E92" s="196"/>
      <c r="F92" s="172"/>
      <c r="G92" s="197" t="s">
        <v>24</v>
      </c>
      <c r="H92" s="196">
        <f>SUM(H93:H111)</f>
        <v>0</v>
      </c>
    </row>
    <row r="93" spans="1:8" s="146" customFormat="1" ht="12.75">
      <c r="A93" s="198"/>
      <c r="B93" s="203"/>
      <c r="C93" s="92"/>
      <c r="D93" s="200"/>
      <c r="E93" s="202"/>
      <c r="F93" s="175"/>
      <c r="G93" s="202"/>
      <c r="H93" s="163"/>
    </row>
    <row r="94" spans="1:8" s="146" customFormat="1" ht="33.75">
      <c r="A94" s="198"/>
      <c r="B94" s="203">
        <v>91924</v>
      </c>
      <c r="C94" s="92" t="s">
        <v>182</v>
      </c>
      <c r="D94" s="200" t="s">
        <v>129</v>
      </c>
      <c r="E94" s="202">
        <v>90.8</v>
      </c>
      <c r="F94" s="176"/>
      <c r="G94" s="162">
        <f aca="true" t="shared" si="6" ref="G94:G106">ROUND(F94+(F94*$C$13),2)</f>
        <v>0</v>
      </c>
      <c r="H94" s="205">
        <f aca="true" t="shared" si="7" ref="H94:H105">G94*E94</f>
        <v>0</v>
      </c>
    </row>
    <row r="95" spans="1:8" s="146" customFormat="1" ht="33.75">
      <c r="A95" s="198"/>
      <c r="B95" s="203">
        <v>91928</v>
      </c>
      <c r="C95" s="92" t="s">
        <v>183</v>
      </c>
      <c r="D95" s="200" t="s">
        <v>129</v>
      </c>
      <c r="E95" s="202">
        <v>58.7</v>
      </c>
      <c r="F95" s="176"/>
      <c r="G95" s="162">
        <f t="shared" si="6"/>
        <v>0</v>
      </c>
      <c r="H95" s="205">
        <f t="shared" si="7"/>
        <v>0</v>
      </c>
    </row>
    <row r="96" spans="1:8" s="146" customFormat="1" ht="33.75">
      <c r="A96" s="198"/>
      <c r="B96" s="203">
        <v>91931</v>
      </c>
      <c r="C96" s="92" t="s">
        <v>184</v>
      </c>
      <c r="D96" s="200" t="s">
        <v>129</v>
      </c>
      <c r="E96" s="202">
        <v>97.8</v>
      </c>
      <c r="F96" s="176"/>
      <c r="G96" s="162">
        <f t="shared" si="6"/>
        <v>0</v>
      </c>
      <c r="H96" s="205">
        <f t="shared" si="7"/>
        <v>0</v>
      </c>
    </row>
    <row r="97" spans="1:8" s="146" customFormat="1" ht="33.75">
      <c r="A97" s="198"/>
      <c r="B97" s="203">
        <v>91933</v>
      </c>
      <c r="C97" s="92" t="s">
        <v>263</v>
      </c>
      <c r="D97" s="200" t="s">
        <v>129</v>
      </c>
      <c r="E97" s="202">
        <v>38.8</v>
      </c>
      <c r="F97" s="176"/>
      <c r="G97" s="162">
        <f t="shared" si="6"/>
        <v>0</v>
      </c>
      <c r="H97" s="205">
        <f t="shared" si="7"/>
        <v>0</v>
      </c>
    </row>
    <row r="98" spans="1:8" s="146" customFormat="1" ht="22.5">
      <c r="A98" s="198"/>
      <c r="B98" s="203">
        <v>91834</v>
      </c>
      <c r="C98" s="92" t="s">
        <v>186</v>
      </c>
      <c r="D98" s="200" t="s">
        <v>129</v>
      </c>
      <c r="E98" s="202">
        <v>51.6</v>
      </c>
      <c r="F98" s="176"/>
      <c r="G98" s="162">
        <f t="shared" si="6"/>
        <v>0</v>
      </c>
      <c r="H98" s="205">
        <f t="shared" si="7"/>
        <v>0</v>
      </c>
    </row>
    <row r="99" spans="1:8" s="146" customFormat="1" ht="24" customHeight="1">
      <c r="A99" s="198"/>
      <c r="B99" s="203">
        <v>91836</v>
      </c>
      <c r="C99" s="92" t="s">
        <v>185</v>
      </c>
      <c r="D99" s="200" t="s">
        <v>129</v>
      </c>
      <c r="E99" s="202">
        <v>14.7</v>
      </c>
      <c r="F99" s="176"/>
      <c r="G99" s="162">
        <f t="shared" si="6"/>
        <v>0</v>
      </c>
      <c r="H99" s="205">
        <f t="shared" si="7"/>
        <v>0</v>
      </c>
    </row>
    <row r="100" spans="1:8" s="146" customFormat="1" ht="22.5">
      <c r="A100" s="198"/>
      <c r="B100" s="203">
        <v>92001</v>
      </c>
      <c r="C100" s="92" t="s">
        <v>187</v>
      </c>
      <c r="D100" s="200" t="s">
        <v>164</v>
      </c>
      <c r="E100" s="202">
        <v>9</v>
      </c>
      <c r="F100" s="176"/>
      <c r="G100" s="162">
        <f t="shared" si="6"/>
        <v>0</v>
      </c>
      <c r="H100" s="205">
        <f t="shared" si="7"/>
        <v>0</v>
      </c>
    </row>
    <row r="101" spans="1:8" s="146" customFormat="1" ht="22.5">
      <c r="A101" s="198"/>
      <c r="B101" s="203">
        <v>91953</v>
      </c>
      <c r="C101" s="92" t="s">
        <v>264</v>
      </c>
      <c r="D101" s="200" t="s">
        <v>164</v>
      </c>
      <c r="E101" s="202">
        <v>5</v>
      </c>
      <c r="F101" s="176"/>
      <c r="G101" s="162">
        <f t="shared" si="6"/>
        <v>0</v>
      </c>
      <c r="H101" s="205">
        <f t="shared" si="7"/>
        <v>0</v>
      </c>
    </row>
    <row r="102" spans="1:8" s="146" customFormat="1" ht="22.5">
      <c r="A102" s="198"/>
      <c r="B102" s="203">
        <v>97607</v>
      </c>
      <c r="C102" s="92" t="s">
        <v>188</v>
      </c>
      <c r="D102" s="200" t="s">
        <v>164</v>
      </c>
      <c r="E102" s="202">
        <v>2</v>
      </c>
      <c r="F102" s="176"/>
      <c r="G102" s="162">
        <f t="shared" si="6"/>
        <v>0</v>
      </c>
      <c r="H102" s="205">
        <f t="shared" si="7"/>
        <v>0</v>
      </c>
    </row>
    <row r="103" spans="1:8" s="146" customFormat="1" ht="22.5">
      <c r="A103" s="198"/>
      <c r="B103" s="203">
        <v>97586</v>
      </c>
      <c r="C103" s="92" t="s">
        <v>189</v>
      </c>
      <c r="D103" s="200" t="s">
        <v>164</v>
      </c>
      <c r="E103" s="202">
        <v>5</v>
      </c>
      <c r="F103" s="176"/>
      <c r="G103" s="162">
        <f t="shared" si="6"/>
        <v>0</v>
      </c>
      <c r="H103" s="205">
        <f t="shared" si="7"/>
        <v>0</v>
      </c>
    </row>
    <row r="104" spans="1:8" s="146" customFormat="1" ht="22.5">
      <c r="A104" s="198"/>
      <c r="B104" s="203">
        <v>93653</v>
      </c>
      <c r="C104" s="92" t="s">
        <v>190</v>
      </c>
      <c r="D104" s="200" t="s">
        <v>164</v>
      </c>
      <c r="E104" s="202">
        <v>2</v>
      </c>
      <c r="F104" s="176"/>
      <c r="G104" s="162">
        <f t="shared" si="6"/>
        <v>0</v>
      </c>
      <c r="H104" s="205">
        <f t="shared" si="7"/>
        <v>0</v>
      </c>
    </row>
    <row r="105" spans="1:8" s="146" customFormat="1" ht="22.5">
      <c r="A105" s="198"/>
      <c r="B105" s="203">
        <v>93655</v>
      </c>
      <c r="C105" s="92" t="s">
        <v>191</v>
      </c>
      <c r="D105" s="200" t="s">
        <v>164</v>
      </c>
      <c r="E105" s="202">
        <v>1</v>
      </c>
      <c r="F105" s="176"/>
      <c r="G105" s="162">
        <f t="shared" si="6"/>
        <v>0</v>
      </c>
      <c r="H105" s="205">
        <f t="shared" si="7"/>
        <v>0</v>
      </c>
    </row>
    <row r="106" spans="1:8" s="146" customFormat="1" ht="22.5">
      <c r="A106" s="198"/>
      <c r="B106" s="203">
        <v>93664</v>
      </c>
      <c r="C106" s="92" t="s">
        <v>192</v>
      </c>
      <c r="D106" s="200" t="s">
        <v>164</v>
      </c>
      <c r="E106" s="202">
        <v>2</v>
      </c>
      <c r="F106" s="176"/>
      <c r="G106" s="162">
        <f t="shared" si="6"/>
        <v>0</v>
      </c>
      <c r="H106" s="205">
        <f aca="true" t="shared" si="8" ref="H106:H111">G106*E106</f>
        <v>0</v>
      </c>
    </row>
    <row r="107" spans="1:8" s="146" customFormat="1" ht="22.5">
      <c r="A107" s="198"/>
      <c r="B107" s="203">
        <v>93666</v>
      </c>
      <c r="C107" s="92" t="s">
        <v>265</v>
      </c>
      <c r="D107" s="200" t="s">
        <v>164</v>
      </c>
      <c r="E107" s="202">
        <v>1</v>
      </c>
      <c r="F107" s="176"/>
      <c r="G107" s="162">
        <f>ROUND(F107+(F107*$C$13),2)</f>
        <v>0</v>
      </c>
      <c r="H107" s="205">
        <f t="shared" si="8"/>
        <v>0</v>
      </c>
    </row>
    <row r="108" spans="1:8" s="146" customFormat="1" ht="22.5">
      <c r="A108" s="198"/>
      <c r="B108" s="203">
        <v>39445</v>
      </c>
      <c r="C108" s="92" t="s">
        <v>266</v>
      </c>
      <c r="D108" s="200" t="s">
        <v>139</v>
      </c>
      <c r="E108" s="202">
        <v>1</v>
      </c>
      <c r="F108" s="176"/>
      <c r="G108" s="162">
        <f>ROUND(F108+(F108*$C$13),2)</f>
        <v>0</v>
      </c>
      <c r="H108" s="205">
        <f t="shared" si="8"/>
        <v>0</v>
      </c>
    </row>
    <row r="109" spans="1:8" s="146" customFormat="1" ht="45">
      <c r="A109" s="198"/>
      <c r="B109" s="203">
        <v>83463</v>
      </c>
      <c r="C109" s="92" t="s">
        <v>267</v>
      </c>
      <c r="D109" s="200" t="s">
        <v>164</v>
      </c>
      <c r="E109" s="202">
        <v>1</v>
      </c>
      <c r="F109" s="176"/>
      <c r="G109" s="162">
        <f>ROUND(F109+(F109*$C$13),2)</f>
        <v>0</v>
      </c>
      <c r="H109" s="205">
        <f t="shared" si="8"/>
        <v>0</v>
      </c>
    </row>
    <row r="110" spans="1:8" s="146" customFormat="1" ht="22.5">
      <c r="A110" s="198"/>
      <c r="B110" s="203">
        <v>98111</v>
      </c>
      <c r="C110" s="92" t="s">
        <v>268</v>
      </c>
      <c r="D110" s="200" t="s">
        <v>164</v>
      </c>
      <c r="E110" s="202">
        <v>1</v>
      </c>
      <c r="F110" s="176"/>
      <c r="G110" s="162">
        <f>ROUND(F110+(F110*$C$13),2)</f>
        <v>0</v>
      </c>
      <c r="H110" s="205">
        <f t="shared" si="8"/>
        <v>0</v>
      </c>
    </row>
    <row r="111" spans="1:8" s="146" customFormat="1" ht="22.5">
      <c r="A111" s="198"/>
      <c r="B111" s="203">
        <v>96986</v>
      </c>
      <c r="C111" s="92" t="s">
        <v>269</v>
      </c>
      <c r="D111" s="200" t="s">
        <v>164</v>
      </c>
      <c r="E111" s="202">
        <v>1</v>
      </c>
      <c r="F111" s="176"/>
      <c r="G111" s="162">
        <f>ROUND(F111+(F111*$C$13),2)</f>
        <v>0</v>
      </c>
      <c r="H111" s="205">
        <f t="shared" si="8"/>
        <v>0</v>
      </c>
    </row>
    <row r="112" spans="1:8" s="146" customFormat="1" ht="12.75">
      <c r="A112" s="198"/>
      <c r="B112" s="203"/>
      <c r="C112" s="92"/>
      <c r="D112" s="200"/>
      <c r="E112" s="202"/>
      <c r="F112" s="175"/>
      <c r="G112" s="202"/>
      <c r="H112" s="163"/>
    </row>
    <row r="113" spans="1:8" s="146" customFormat="1" ht="22.5">
      <c r="A113" s="192">
        <v>8</v>
      </c>
      <c r="B113" s="193" t="s">
        <v>247</v>
      </c>
      <c r="C113" s="194" t="s">
        <v>248</v>
      </c>
      <c r="D113" s="195"/>
      <c r="E113" s="196"/>
      <c r="F113" s="172"/>
      <c r="G113" s="197" t="s">
        <v>24</v>
      </c>
      <c r="H113" s="196">
        <f>SUM(H114:H119)</f>
        <v>0</v>
      </c>
    </row>
    <row r="114" spans="1:8" s="146" customFormat="1" ht="12.75">
      <c r="A114" s="198"/>
      <c r="B114" s="203"/>
      <c r="C114" s="92"/>
      <c r="D114" s="200"/>
      <c r="E114" s="202"/>
      <c r="F114" s="175"/>
      <c r="G114" s="202"/>
      <c r="H114" s="163"/>
    </row>
    <row r="115" spans="1:8" s="146" customFormat="1" ht="22.5">
      <c r="A115" s="198"/>
      <c r="B115" s="203">
        <v>88485</v>
      </c>
      <c r="C115" s="92" t="s">
        <v>197</v>
      </c>
      <c r="D115" s="200" t="s">
        <v>13</v>
      </c>
      <c r="E115" s="202">
        <v>87.52</v>
      </c>
      <c r="F115" s="176"/>
      <c r="G115" s="202">
        <f>ROUND(F115+(F115*$C$13),2)</f>
        <v>0</v>
      </c>
      <c r="H115" s="163">
        <f>G115*E115</f>
        <v>0</v>
      </c>
    </row>
    <row r="116" spans="1:8" s="146" customFormat="1" ht="22.5">
      <c r="A116" s="198"/>
      <c r="B116" s="203">
        <v>88431</v>
      </c>
      <c r="C116" s="92" t="s">
        <v>198</v>
      </c>
      <c r="D116" s="200" t="s">
        <v>13</v>
      </c>
      <c r="E116" s="202">
        <v>87.52</v>
      </c>
      <c r="F116" s="176"/>
      <c r="G116" s="202">
        <f>ROUND(F116+(F116*$C$13),2)</f>
        <v>0</v>
      </c>
      <c r="H116" s="163">
        <f>G116*E116</f>
        <v>0</v>
      </c>
    </row>
    <row r="117" spans="1:8" s="146" customFormat="1" ht="22.5">
      <c r="A117" s="198"/>
      <c r="B117" s="203">
        <v>88495</v>
      </c>
      <c r="C117" s="92" t="s">
        <v>199</v>
      </c>
      <c r="D117" s="200" t="s">
        <v>13</v>
      </c>
      <c r="E117" s="202">
        <v>25.4</v>
      </c>
      <c r="F117" s="176"/>
      <c r="G117" s="202">
        <f>ROUND(F117+(F117*$C$13),2)</f>
        <v>0</v>
      </c>
      <c r="H117" s="163">
        <f>G117*E117</f>
        <v>0</v>
      </c>
    </row>
    <row r="118" spans="1:8" s="146" customFormat="1" ht="33.75">
      <c r="A118" s="198"/>
      <c r="B118" s="203">
        <v>95622</v>
      </c>
      <c r="C118" s="92" t="s">
        <v>200</v>
      </c>
      <c r="D118" s="200" t="s">
        <v>13</v>
      </c>
      <c r="E118" s="202">
        <v>25.4</v>
      </c>
      <c r="F118" s="176"/>
      <c r="G118" s="202">
        <f>ROUND(F118+(F118*$C$13),2)</f>
        <v>0</v>
      </c>
      <c r="H118" s="163">
        <f>G118*E118</f>
        <v>0</v>
      </c>
    </row>
    <row r="119" spans="1:8" s="146" customFormat="1" ht="12.75">
      <c r="A119" s="198"/>
      <c r="B119" s="207"/>
      <c r="C119" s="96"/>
      <c r="D119" s="208"/>
      <c r="E119" s="209"/>
      <c r="F119" s="177"/>
      <c r="G119" s="209"/>
      <c r="H119" s="210"/>
    </row>
    <row r="120" spans="1:8" s="146" customFormat="1" ht="22.5">
      <c r="A120" s="192">
        <v>7</v>
      </c>
      <c r="B120" s="193" t="s">
        <v>247</v>
      </c>
      <c r="C120" s="97" t="s">
        <v>249</v>
      </c>
      <c r="D120" s="194"/>
      <c r="E120" s="197"/>
      <c r="F120" s="173"/>
      <c r="G120" s="197" t="s">
        <v>24</v>
      </c>
      <c r="H120" s="197">
        <f>SUM(H121:H126)</f>
        <v>0</v>
      </c>
    </row>
    <row r="121" spans="1:8" s="146" customFormat="1" ht="12.75">
      <c r="A121" s="198"/>
      <c r="B121" s="203"/>
      <c r="C121" s="92"/>
      <c r="D121" s="200"/>
      <c r="E121" s="202"/>
      <c r="F121" s="175"/>
      <c r="G121" s="202"/>
      <c r="H121" s="163"/>
    </row>
    <row r="122" spans="1:8" s="146" customFormat="1" ht="22.5">
      <c r="A122" s="198"/>
      <c r="B122" s="203">
        <v>93679</v>
      </c>
      <c r="C122" s="92" t="s">
        <v>203</v>
      </c>
      <c r="D122" s="200" t="s">
        <v>13</v>
      </c>
      <c r="E122" s="202">
        <v>10.17</v>
      </c>
      <c r="F122" s="176"/>
      <c r="G122" s="202">
        <f>ROUND(F122+(F122*$C$13),2)</f>
        <v>0</v>
      </c>
      <c r="H122" s="163">
        <f>G122*E122</f>
        <v>0</v>
      </c>
    </row>
    <row r="123" spans="1:8" s="146" customFormat="1" ht="12.75">
      <c r="A123" s="198"/>
      <c r="B123" s="203">
        <v>96523</v>
      </c>
      <c r="C123" s="92" t="s">
        <v>201</v>
      </c>
      <c r="D123" s="200" t="s">
        <v>72</v>
      </c>
      <c r="E123" s="202">
        <v>0.13</v>
      </c>
      <c r="F123" s="176"/>
      <c r="G123" s="202">
        <f>ROUND(F123+(F123*$C$13),2)</f>
        <v>0</v>
      </c>
      <c r="H123" s="163">
        <f>G123*E123</f>
        <v>0</v>
      </c>
    </row>
    <row r="124" spans="1:8" s="146" customFormat="1" ht="33.75">
      <c r="A124" s="198"/>
      <c r="B124" s="203">
        <v>96536</v>
      </c>
      <c r="C124" s="92" t="s">
        <v>151</v>
      </c>
      <c r="D124" s="200" t="s">
        <v>13</v>
      </c>
      <c r="E124" s="202">
        <v>3.6</v>
      </c>
      <c r="F124" s="176"/>
      <c r="G124" s="202">
        <f>ROUND(F124+(F124*$C$13),2)</f>
        <v>0</v>
      </c>
      <c r="H124" s="163">
        <f>G124*E124</f>
        <v>0</v>
      </c>
    </row>
    <row r="125" spans="1:8" s="146" customFormat="1" ht="33.75">
      <c r="A125" s="198"/>
      <c r="B125" s="203">
        <v>90854</v>
      </c>
      <c r="C125" s="92" t="s">
        <v>152</v>
      </c>
      <c r="D125" s="200" t="s">
        <v>72</v>
      </c>
      <c r="E125" s="202">
        <v>0.018</v>
      </c>
      <c r="F125" s="176"/>
      <c r="G125" s="202">
        <f>ROUND(F125+(F125*$C$13),2)</f>
        <v>0</v>
      </c>
      <c r="H125" s="163">
        <f>G125*E125</f>
        <v>0</v>
      </c>
    </row>
    <row r="126" spans="1:8" s="146" customFormat="1" ht="12.75">
      <c r="A126" s="198"/>
      <c r="B126" s="203"/>
      <c r="C126" s="92"/>
      <c r="D126" s="200"/>
      <c r="E126" s="202"/>
      <c r="F126" s="175"/>
      <c r="G126" s="202"/>
      <c r="H126" s="163"/>
    </row>
    <row r="127" spans="1:8" ht="12.75">
      <c r="A127" s="211"/>
      <c r="B127" s="212"/>
      <c r="C127" s="90"/>
      <c r="D127" s="213"/>
      <c r="E127" s="214"/>
      <c r="F127" s="178"/>
      <c r="G127" s="214"/>
      <c r="H127" s="167"/>
    </row>
    <row r="128" spans="1:8" ht="12.75" hidden="1">
      <c r="A128" s="211"/>
      <c r="B128" s="213"/>
      <c r="C128" s="90"/>
      <c r="D128" s="213"/>
      <c r="E128" s="214"/>
      <c r="F128" s="214"/>
      <c r="G128" s="214"/>
      <c r="H128" s="167"/>
    </row>
    <row r="129" spans="1:8" ht="12.75" hidden="1">
      <c r="A129" s="215"/>
      <c r="B129" s="216"/>
      <c r="C129" s="91"/>
      <c r="D129" s="216"/>
      <c r="E129" s="217"/>
      <c r="F129" s="217"/>
      <c r="G129" s="217"/>
      <c r="H129" s="169"/>
    </row>
    <row r="130" spans="1:8" ht="12.75">
      <c r="A130" s="291" t="s">
        <v>79</v>
      </c>
      <c r="B130" s="291"/>
      <c r="C130" s="291"/>
      <c r="D130" s="291"/>
      <c r="E130" s="291"/>
      <c r="F130" s="291"/>
      <c r="G130" s="291"/>
      <c r="H130" s="196">
        <f>H132-H131</f>
        <v>0</v>
      </c>
    </row>
    <row r="131" spans="1:8" ht="12.75">
      <c r="A131" s="291" t="s">
        <v>82</v>
      </c>
      <c r="B131" s="291"/>
      <c r="C131" s="291"/>
      <c r="D131" s="291"/>
      <c r="E131" s="291"/>
      <c r="F131" s="291"/>
      <c r="G131" s="291"/>
      <c r="H131" s="196">
        <f>H132*0.2673</f>
        <v>0</v>
      </c>
    </row>
    <row r="132" spans="1:8" ht="12.75">
      <c r="A132" s="291" t="s">
        <v>80</v>
      </c>
      <c r="B132" s="291"/>
      <c r="C132" s="291"/>
      <c r="D132" s="291"/>
      <c r="E132" s="291"/>
      <c r="F132" s="291"/>
      <c r="G132" s="291"/>
      <c r="H132" s="196">
        <f>H17+H22+H36+H53+H60+H65+H92+H113+H120</f>
        <v>0</v>
      </c>
    </row>
    <row r="136" ht="12.75">
      <c r="F136" s="219"/>
    </row>
    <row r="137" spans="4:7" ht="12.75">
      <c r="D137" s="138" t="s">
        <v>117</v>
      </c>
      <c r="E137" s="179"/>
      <c r="F137" s="180"/>
      <c r="G137" s="142"/>
    </row>
    <row r="138" spans="4:7" ht="12.75">
      <c r="D138" s="139" t="s">
        <v>118</v>
      </c>
      <c r="E138" s="181"/>
      <c r="F138" s="181"/>
      <c r="G138" s="142"/>
    </row>
    <row r="139" ht="12.75">
      <c r="D139" s="140"/>
    </row>
    <row r="140" ht="12.75">
      <c r="D140" s="140"/>
    </row>
    <row r="141" ht="12.75">
      <c r="D141" s="85"/>
    </row>
    <row r="142" spans="4:6" ht="12.75">
      <c r="D142" s="110"/>
      <c r="F142" s="219"/>
    </row>
    <row r="143" spans="4:7" ht="12.75">
      <c r="D143" s="138" t="s">
        <v>133</v>
      </c>
      <c r="E143" s="179"/>
      <c r="F143" s="180"/>
      <c r="G143" s="142"/>
    </row>
    <row r="144" spans="4:7" ht="12.75">
      <c r="D144" s="139" t="s">
        <v>61</v>
      </c>
      <c r="E144" s="181"/>
      <c r="F144" s="181"/>
      <c r="G144" s="142"/>
    </row>
  </sheetData>
  <sheetProtection password="C637" sheet="1" selectLockedCells="1"/>
  <mergeCells count="17">
    <mergeCell ref="A132:G132"/>
    <mergeCell ref="A10:B10"/>
    <mergeCell ref="A11:B11"/>
    <mergeCell ref="A2:H3"/>
    <mergeCell ref="A5:B5"/>
    <mergeCell ref="A6:B6"/>
    <mergeCell ref="A7:B7"/>
    <mergeCell ref="A8:B8"/>
    <mergeCell ref="A9:B9"/>
    <mergeCell ref="A130:G130"/>
    <mergeCell ref="E5:G5"/>
    <mergeCell ref="E6:G6"/>
    <mergeCell ref="A12:B12"/>
    <mergeCell ref="A131:G131"/>
    <mergeCell ref="A13:B13"/>
  </mergeCells>
  <conditionalFormatting sqref="C18 C41:C42 C46:C52 C90:C91 C93:C112 C114:C124 C54:C59 C126:C129 C23:C35 C61:C64 C66:C88">
    <cfRule type="expression" priority="4437" dxfId="49" stopIfTrue="1">
      <formula>Orçamento!#REF!=1</formula>
    </cfRule>
    <cfRule type="expression" priority="4438" dxfId="50" stopIfTrue="1">
      <formula>Orçamento!#REF!=2</formula>
    </cfRule>
    <cfRule type="expression" priority="4439" dxfId="51" stopIfTrue="1">
      <formula>Orçamento!#REF!=3</formula>
    </cfRule>
  </conditionalFormatting>
  <conditionalFormatting sqref="C19 C37:C40">
    <cfRule type="expression" priority="52" dxfId="49" stopIfTrue="1">
      <formula>Orçamento!#REF!=1</formula>
    </cfRule>
    <cfRule type="expression" priority="53" dxfId="50" stopIfTrue="1">
      <formula>Orçamento!#REF!=2</formula>
    </cfRule>
    <cfRule type="expression" priority="54" dxfId="51" stopIfTrue="1">
      <formula>Orçamento!#REF!=3</formula>
    </cfRule>
  </conditionalFormatting>
  <conditionalFormatting sqref="C20:C21">
    <cfRule type="expression" priority="37" dxfId="49" stopIfTrue="1">
      <formula>Orçamento!#REF!=1</formula>
    </cfRule>
    <cfRule type="expression" priority="38" dxfId="50" stopIfTrue="1">
      <formula>Orçamento!#REF!=2</formula>
    </cfRule>
    <cfRule type="expression" priority="39" dxfId="51" stopIfTrue="1">
      <formula>Orçamento!#REF!=3</formula>
    </cfRule>
  </conditionalFormatting>
  <conditionalFormatting sqref="C43:C45">
    <cfRule type="expression" priority="28" dxfId="49" stopIfTrue="1">
      <formula>Orçamento!#REF!=1</formula>
    </cfRule>
    <cfRule type="expression" priority="29" dxfId="50" stopIfTrue="1">
      <formula>Orçamento!#REF!=2</formula>
    </cfRule>
    <cfRule type="expression" priority="30" dxfId="51" stopIfTrue="1">
      <formula>Orçamento!#REF!=3</formula>
    </cfRule>
  </conditionalFormatting>
  <conditionalFormatting sqref="C89">
    <cfRule type="expression" priority="19" dxfId="49" stopIfTrue="1">
      <formula>Orçamento!#REF!=1</formula>
    </cfRule>
    <cfRule type="expression" priority="20" dxfId="50" stopIfTrue="1">
      <formula>Orçamento!#REF!=2</formula>
    </cfRule>
    <cfRule type="expression" priority="21" dxfId="51" stopIfTrue="1">
      <formula>Orçamento!#REF!=3</formula>
    </cfRule>
  </conditionalFormatting>
  <conditionalFormatting sqref="C125">
    <cfRule type="expression" priority="1" dxfId="49" stopIfTrue="1">
      <formula>Orçamento!#REF!=1</formula>
    </cfRule>
    <cfRule type="expression" priority="2" dxfId="50" stopIfTrue="1">
      <formula>Orçamento!#REF!=2</formula>
    </cfRule>
    <cfRule type="expression" priority="3" dxfId="51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3.5" thickBot="1">
      <c r="A2" s="7"/>
      <c r="B2" s="48" t="e">
        <f>#REF!</f>
        <v>#REF!</v>
      </c>
      <c r="C2" s="8"/>
      <c r="D2" s="50" t="s">
        <v>21</v>
      </c>
      <c r="E2" s="51"/>
      <c r="F2" s="52"/>
      <c r="G2" s="49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7"/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7"/>
      <c r="B4" s="8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2.75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10"/>
      <c r="B6" s="11" t="s">
        <v>0</v>
      </c>
      <c r="C6" s="11" t="s">
        <v>1</v>
      </c>
      <c r="D6" s="11"/>
      <c r="E6" s="42" t="s">
        <v>6</v>
      </c>
      <c r="F6" s="11"/>
      <c r="G6" s="42" t="s">
        <v>7</v>
      </c>
      <c r="H6" s="11"/>
      <c r="I6" s="42" t="s">
        <v>8</v>
      </c>
      <c r="J6" s="11"/>
      <c r="K6" s="42" t="s">
        <v>9</v>
      </c>
      <c r="L6" s="11"/>
      <c r="M6" s="42" t="s">
        <v>10</v>
      </c>
      <c r="N6" s="11"/>
      <c r="O6" s="42" t="s">
        <v>11</v>
      </c>
      <c r="P6" s="12"/>
    </row>
    <row r="7" spans="1:16" ht="12.75">
      <c r="A7" s="10"/>
      <c r="B7" s="13"/>
      <c r="C7" s="14" t="s">
        <v>2</v>
      </c>
      <c r="D7" s="13" t="s">
        <v>3</v>
      </c>
      <c r="E7" s="13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5" t="s">
        <v>3</v>
      </c>
    </row>
    <row r="8" spans="1:16" ht="12.75">
      <c r="A8" s="10">
        <v>1</v>
      </c>
      <c r="B8" s="16" t="e">
        <f>#REF!</f>
        <v>#REF!</v>
      </c>
      <c r="C8" s="14" t="e">
        <f>Orçamento!#REF!</f>
        <v>#REF!</v>
      </c>
      <c r="D8" s="17" t="e">
        <f aca="true" t="shared" si="0" ref="D8:D18">C8/$C$19</f>
        <v>#REF!</v>
      </c>
      <c r="E8" s="18" t="e">
        <f>C8/3</f>
        <v>#REF!</v>
      </c>
      <c r="F8" s="19" t="e">
        <f>E8/C19</f>
        <v>#REF!</v>
      </c>
      <c r="G8" s="18" t="e">
        <f>E8</f>
        <v>#REF!</v>
      </c>
      <c r="H8" s="19" t="e">
        <f>G8/$C$19</f>
        <v>#REF!</v>
      </c>
      <c r="I8" s="18" t="e">
        <f>G8</f>
        <v>#REF!</v>
      </c>
      <c r="J8" s="19" t="e">
        <f>I8/$C$19</f>
        <v>#REF!</v>
      </c>
      <c r="K8" s="20"/>
      <c r="L8" s="20"/>
      <c r="M8" s="20"/>
      <c r="N8" s="20"/>
      <c r="O8" s="20"/>
      <c r="P8" s="21"/>
    </row>
    <row r="9" spans="1:16" ht="12.75">
      <c r="A9" s="10">
        <v>2</v>
      </c>
      <c r="B9" s="16" t="e">
        <f>#REF!</f>
        <v>#REF!</v>
      </c>
      <c r="C9" s="14" t="e">
        <f>Orçamento!#REF!</f>
        <v>#REF!</v>
      </c>
      <c r="D9" s="17" t="e">
        <f t="shared" si="0"/>
        <v>#REF!</v>
      </c>
      <c r="E9" s="18" t="e">
        <f>C9/6</f>
        <v>#REF!</v>
      </c>
      <c r="F9" s="19" t="e">
        <f>E9/$C$19</f>
        <v>#REF!</v>
      </c>
      <c r="G9" s="18" t="e">
        <f>E9</f>
        <v>#REF!</v>
      </c>
      <c r="H9" s="19" t="e">
        <f>G9/$C$19</f>
        <v>#REF!</v>
      </c>
      <c r="I9" s="18" t="e">
        <f>E9</f>
        <v>#REF!</v>
      </c>
      <c r="J9" s="19" t="e">
        <f>I9/$C$19</f>
        <v>#REF!</v>
      </c>
      <c r="K9" s="18" t="e">
        <f aca="true" t="shared" si="1" ref="K9:P9">I9</f>
        <v>#REF!</v>
      </c>
      <c r="L9" s="19" t="e">
        <f t="shared" si="1"/>
        <v>#REF!</v>
      </c>
      <c r="M9" s="18" t="e">
        <f t="shared" si="1"/>
        <v>#REF!</v>
      </c>
      <c r="N9" s="19" t="e">
        <f t="shared" si="1"/>
        <v>#REF!</v>
      </c>
      <c r="O9" s="18" t="e">
        <f t="shared" si="1"/>
        <v>#REF!</v>
      </c>
      <c r="P9" s="22" t="e">
        <f t="shared" si="1"/>
        <v>#REF!</v>
      </c>
    </row>
    <row r="10" spans="1:16" ht="12.75">
      <c r="A10" s="10">
        <v>3</v>
      </c>
      <c r="B10" s="16" t="e">
        <f>#REF!</f>
        <v>#REF!</v>
      </c>
      <c r="C10" s="14" t="e">
        <f>Orçamento!#REF!</f>
        <v>#REF!</v>
      </c>
      <c r="D10" s="17" t="e">
        <f t="shared" si="0"/>
        <v>#REF!</v>
      </c>
      <c r="E10" s="18" t="e">
        <f>C10/12</f>
        <v>#REF!</v>
      </c>
      <c r="F10" s="19" t="e">
        <f>E10/$C$19</f>
        <v>#REF!</v>
      </c>
      <c r="G10" s="18" t="e">
        <f>E10</f>
        <v>#REF!</v>
      </c>
      <c r="H10" s="19" t="e">
        <f>G10/$C$19</f>
        <v>#REF!</v>
      </c>
      <c r="I10" s="18" t="e">
        <f>E10</f>
        <v>#REF!</v>
      </c>
      <c r="J10" s="19" t="e">
        <f>I10/$C$19</f>
        <v>#REF!</v>
      </c>
      <c r="K10" s="18" t="e">
        <f>I10</f>
        <v>#REF!</v>
      </c>
      <c r="L10" s="19" t="e">
        <f>K10/$C$19</f>
        <v>#REF!</v>
      </c>
      <c r="M10" s="18" t="e">
        <f>K10</f>
        <v>#REF!</v>
      </c>
      <c r="N10" s="19" t="e">
        <f>M10/$C$19</f>
        <v>#REF!</v>
      </c>
      <c r="O10" s="18" t="e">
        <f>M10</f>
        <v>#REF!</v>
      </c>
      <c r="P10" s="22" t="e">
        <f>O10/$C$19</f>
        <v>#REF!</v>
      </c>
    </row>
    <row r="11" spans="1:16" ht="12.75">
      <c r="A11" s="10">
        <v>4</v>
      </c>
      <c r="B11" s="16" t="e">
        <f>#REF!</f>
        <v>#REF!</v>
      </c>
      <c r="C11" s="14" t="e">
        <f>Orçamento!#REF!</f>
        <v>#REF!</v>
      </c>
      <c r="D11" s="17" t="e">
        <f t="shared" si="0"/>
        <v>#REF!</v>
      </c>
      <c r="E11" s="20"/>
      <c r="F11" s="23"/>
      <c r="G11" s="20"/>
      <c r="H11" s="23"/>
      <c r="I11" s="20"/>
      <c r="J11" s="23"/>
      <c r="K11" s="20"/>
      <c r="L11" s="24"/>
      <c r="M11" s="20"/>
      <c r="N11" s="24"/>
      <c r="O11" s="20"/>
      <c r="P11" s="25"/>
    </row>
    <row r="12" spans="1:16" ht="12.75">
      <c r="A12" s="10">
        <v>5</v>
      </c>
      <c r="B12" s="16" t="e">
        <f>#REF!</f>
        <v>#REF!</v>
      </c>
      <c r="C12" s="14" t="e">
        <f>Orçamento!#REF!</f>
        <v>#REF!</v>
      </c>
      <c r="D12" s="17" t="e">
        <f t="shared" si="0"/>
        <v>#REF!</v>
      </c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6"/>
    </row>
    <row r="13" spans="1:16" ht="12.75">
      <c r="A13" s="10">
        <v>6</v>
      </c>
      <c r="B13" s="16" t="e">
        <f>#REF!</f>
        <v>#REF!</v>
      </c>
      <c r="C13" s="14" t="e">
        <f>Orçamento!#REF!</f>
        <v>#REF!</v>
      </c>
      <c r="D13" s="17" t="e">
        <f t="shared" si="0"/>
        <v>#REF!</v>
      </c>
      <c r="E13" s="18" t="e">
        <f>C13/12</f>
        <v>#REF!</v>
      </c>
      <c r="F13" s="19" t="e">
        <f>E13/$C$19</f>
        <v>#REF!</v>
      </c>
      <c r="G13" s="18" t="e">
        <f>E13</f>
        <v>#REF!</v>
      </c>
      <c r="H13" s="19" t="e">
        <f>G13/$C$19</f>
        <v>#REF!</v>
      </c>
      <c r="I13" s="18" t="e">
        <f>E13</f>
        <v>#REF!</v>
      </c>
      <c r="J13" s="19" t="e">
        <f>I13/$C$19</f>
        <v>#REF!</v>
      </c>
      <c r="K13" s="18" t="e">
        <f>I13</f>
        <v>#REF!</v>
      </c>
      <c r="L13" s="19" t="e">
        <f>K13/$C$19</f>
        <v>#REF!</v>
      </c>
      <c r="M13" s="18" t="e">
        <f>K13</f>
        <v>#REF!</v>
      </c>
      <c r="N13" s="19" t="e">
        <f>M13/$C$19</f>
        <v>#REF!</v>
      </c>
      <c r="O13" s="18" t="e">
        <f>M13</f>
        <v>#REF!</v>
      </c>
      <c r="P13" s="22" t="e">
        <f>O13/$C$19</f>
        <v>#REF!</v>
      </c>
    </row>
    <row r="14" spans="1:16" ht="12.75">
      <c r="A14" s="10">
        <v>7</v>
      </c>
      <c r="B14" s="16" t="e">
        <f>#REF!</f>
        <v>#REF!</v>
      </c>
      <c r="C14" s="14" t="e">
        <f>Orçamento!#REF!</f>
        <v>#REF!</v>
      </c>
      <c r="D14" s="17" t="e">
        <f t="shared" si="0"/>
        <v>#REF!</v>
      </c>
      <c r="E14" s="18" t="e">
        <f>C14/12</f>
        <v>#REF!</v>
      </c>
      <c r="F14" s="19" t="e">
        <f>E14/$C$19</f>
        <v>#REF!</v>
      </c>
      <c r="G14" s="18" t="e">
        <f>E14</f>
        <v>#REF!</v>
      </c>
      <c r="H14" s="19" t="e">
        <f>G14/$C$19</f>
        <v>#REF!</v>
      </c>
      <c r="I14" s="18" t="e">
        <f>E14</f>
        <v>#REF!</v>
      </c>
      <c r="J14" s="19" t="e">
        <f>I14/$C$19</f>
        <v>#REF!</v>
      </c>
      <c r="K14" s="18" t="e">
        <f>I14</f>
        <v>#REF!</v>
      </c>
      <c r="L14" s="19" t="e">
        <f>K14/$C$19</f>
        <v>#REF!</v>
      </c>
      <c r="M14" s="18" t="e">
        <f>K14</f>
        <v>#REF!</v>
      </c>
      <c r="N14" s="19" t="e">
        <f>M14/$C$19</f>
        <v>#REF!</v>
      </c>
      <c r="O14" s="18" t="e">
        <f>M14</f>
        <v>#REF!</v>
      </c>
      <c r="P14" s="22" t="e">
        <f>O14/$C$19</f>
        <v>#REF!</v>
      </c>
    </row>
    <row r="15" spans="1:16" ht="12.75">
      <c r="A15" s="10">
        <v>8</v>
      </c>
      <c r="B15" s="16" t="e">
        <f>#REF!</f>
        <v>#REF!</v>
      </c>
      <c r="C15" s="14" t="e">
        <f>Orçamento!#REF!</f>
        <v>#REF!</v>
      </c>
      <c r="D15" s="17" t="e">
        <f t="shared" si="0"/>
        <v>#REF!</v>
      </c>
      <c r="E15" s="27"/>
      <c r="F15" s="24"/>
      <c r="G15" s="27"/>
      <c r="H15" s="24"/>
      <c r="I15" s="27"/>
      <c r="J15" s="24"/>
      <c r="K15" s="18" t="e">
        <f>C15/9</f>
        <v>#REF!</v>
      </c>
      <c r="L15" s="19" t="e">
        <f>K15/$C$19</f>
        <v>#REF!</v>
      </c>
      <c r="M15" s="18" t="e">
        <f>K15</f>
        <v>#REF!</v>
      </c>
      <c r="N15" s="19" t="e">
        <f>M15/$C$19</f>
        <v>#REF!</v>
      </c>
      <c r="O15" s="18" t="e">
        <f>K15</f>
        <v>#REF!</v>
      </c>
      <c r="P15" s="22" t="e">
        <f>O15/$C$19</f>
        <v>#REF!</v>
      </c>
    </row>
    <row r="16" spans="1:16" ht="12.75">
      <c r="A16" s="10">
        <v>9</v>
      </c>
      <c r="B16" s="16" t="e">
        <f>#REF!</f>
        <v>#REF!</v>
      </c>
      <c r="C16" s="14" t="e">
        <f>Orçamento!#REF!</f>
        <v>#REF!</v>
      </c>
      <c r="D16" s="17" t="e">
        <f t="shared" si="0"/>
        <v>#REF!</v>
      </c>
      <c r="E16" s="27"/>
      <c r="F16" s="24"/>
      <c r="G16" s="27"/>
      <c r="H16" s="24"/>
      <c r="I16" s="27"/>
      <c r="J16" s="24"/>
      <c r="K16" s="20"/>
      <c r="L16" s="23"/>
      <c r="M16" s="20"/>
      <c r="N16" s="23"/>
      <c r="O16" s="20"/>
      <c r="P16" s="26"/>
    </row>
    <row r="17" spans="1:16" ht="12.75">
      <c r="A17" s="10">
        <v>10</v>
      </c>
      <c r="B17" s="16" t="e">
        <f>#REF!</f>
        <v>#REF!</v>
      </c>
      <c r="C17" s="14" t="e">
        <f>Orçamento!#REF!</f>
        <v>#REF!</v>
      </c>
      <c r="D17" s="17" t="e">
        <f t="shared" si="0"/>
        <v>#REF!</v>
      </c>
      <c r="E17" s="27"/>
      <c r="F17" s="24"/>
      <c r="G17" s="27"/>
      <c r="H17" s="24"/>
      <c r="I17" s="27"/>
      <c r="J17" s="24"/>
      <c r="K17" s="20"/>
      <c r="L17" s="23"/>
      <c r="M17" s="20"/>
      <c r="N17" s="23"/>
      <c r="O17" s="20"/>
      <c r="P17" s="26"/>
    </row>
    <row r="18" spans="1:16" ht="12.75">
      <c r="A18" s="10">
        <v>11</v>
      </c>
      <c r="B18" s="16" t="e">
        <f>#REF!</f>
        <v>#REF!</v>
      </c>
      <c r="C18" s="14" t="e">
        <f>Orçamento!#REF!</f>
        <v>#REF!</v>
      </c>
      <c r="D18" s="17" t="e">
        <f t="shared" si="0"/>
        <v>#REF!</v>
      </c>
      <c r="E18" s="27"/>
      <c r="F18" s="24"/>
      <c r="G18" s="27"/>
      <c r="H18" s="24"/>
      <c r="I18" s="27"/>
      <c r="J18" s="24"/>
      <c r="K18" s="20"/>
      <c r="L18" s="23"/>
      <c r="M18" s="20"/>
      <c r="N18" s="23"/>
      <c r="O18" s="20"/>
      <c r="P18" s="26"/>
    </row>
    <row r="19" spans="1:16" ht="12.75">
      <c r="A19" s="10"/>
      <c r="B19" s="13" t="s">
        <v>4</v>
      </c>
      <c r="C19" s="28" t="e">
        <f aca="true" t="shared" si="2" ref="C19:P19">SUM(C8:C18)</f>
        <v>#REF!</v>
      </c>
      <c r="D19" s="29" t="e">
        <f t="shared" si="2"/>
        <v>#REF!</v>
      </c>
      <c r="E19" s="27" t="e">
        <f t="shared" si="2"/>
        <v>#REF!</v>
      </c>
      <c r="F19" s="24" t="e">
        <f t="shared" si="2"/>
        <v>#REF!</v>
      </c>
      <c r="G19" s="27" t="e">
        <f t="shared" si="2"/>
        <v>#REF!</v>
      </c>
      <c r="H19" s="24" t="e">
        <f t="shared" si="2"/>
        <v>#REF!</v>
      </c>
      <c r="I19" s="27" t="e">
        <f t="shared" si="2"/>
        <v>#REF!</v>
      </c>
      <c r="J19" s="24" t="e">
        <f t="shared" si="2"/>
        <v>#REF!</v>
      </c>
      <c r="K19" s="27" t="e">
        <f t="shared" si="2"/>
        <v>#REF!</v>
      </c>
      <c r="L19" s="24" t="e">
        <f t="shared" si="2"/>
        <v>#REF!</v>
      </c>
      <c r="M19" s="27" t="e">
        <f t="shared" si="2"/>
        <v>#REF!</v>
      </c>
      <c r="N19" s="24" t="e">
        <f t="shared" si="2"/>
        <v>#REF!</v>
      </c>
      <c r="O19" s="27" t="e">
        <f t="shared" si="2"/>
        <v>#REF!</v>
      </c>
      <c r="P19" s="25" t="e">
        <f t="shared" si="2"/>
        <v>#REF!</v>
      </c>
    </row>
    <row r="20" spans="1:16" ht="12.75">
      <c r="A20" s="10"/>
      <c r="B20" s="11" t="s">
        <v>5</v>
      </c>
      <c r="C20" s="11"/>
      <c r="D20" s="11"/>
      <c r="E20" s="30" t="e">
        <f>E19</f>
        <v>#REF!</v>
      </c>
      <c r="F20" s="31" t="e">
        <f>F19</f>
        <v>#REF!</v>
      </c>
      <c r="G20" s="30" t="e">
        <f aca="true" t="shared" si="3" ref="G20:M20">G19+E20</f>
        <v>#REF!</v>
      </c>
      <c r="H20" s="31" t="e">
        <f t="shared" si="3"/>
        <v>#REF!</v>
      </c>
      <c r="I20" s="30" t="e">
        <f t="shared" si="3"/>
        <v>#REF!</v>
      </c>
      <c r="J20" s="31" t="e">
        <f t="shared" si="3"/>
        <v>#REF!</v>
      </c>
      <c r="K20" s="30" t="e">
        <f t="shared" si="3"/>
        <v>#REF!</v>
      </c>
      <c r="L20" s="31" t="e">
        <f t="shared" si="3"/>
        <v>#REF!</v>
      </c>
      <c r="M20" s="30" t="e">
        <f t="shared" si="3"/>
        <v>#REF!</v>
      </c>
      <c r="N20" s="31" t="e">
        <f>L20+N19</f>
        <v>#REF!</v>
      </c>
      <c r="O20" s="30" t="e">
        <f>M20+O19</f>
        <v>#REF!</v>
      </c>
      <c r="P20" s="32" t="e">
        <f>N20+P19</f>
        <v>#REF!</v>
      </c>
    </row>
    <row r="21" spans="1:16" ht="12.75">
      <c r="A21" s="43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7"/>
    </row>
    <row r="22" spans="1:16" ht="12.75">
      <c r="A22" s="10" t="s">
        <v>14</v>
      </c>
      <c r="B22" s="11" t="s">
        <v>0</v>
      </c>
      <c r="C22" s="11" t="s">
        <v>1</v>
      </c>
      <c r="D22" s="11"/>
      <c r="E22" s="1" t="s">
        <v>15</v>
      </c>
      <c r="F22" s="31"/>
      <c r="G22" s="1" t="s">
        <v>16</v>
      </c>
      <c r="H22" s="31"/>
      <c r="I22" s="1" t="s">
        <v>17</v>
      </c>
      <c r="J22" s="31"/>
      <c r="K22" s="1" t="s">
        <v>18</v>
      </c>
      <c r="L22" s="31"/>
      <c r="M22" s="1" t="s">
        <v>19</v>
      </c>
      <c r="N22" s="31"/>
      <c r="O22" s="1" t="s">
        <v>20</v>
      </c>
      <c r="P22" s="32"/>
    </row>
    <row r="23" spans="1:16" ht="12.75">
      <c r="A23" s="10"/>
      <c r="B23" s="13"/>
      <c r="C23" s="14" t="s">
        <v>2</v>
      </c>
      <c r="D23" s="13" t="s">
        <v>3</v>
      </c>
      <c r="E23" s="27" t="s">
        <v>2</v>
      </c>
      <c r="F23" s="24" t="s">
        <v>3</v>
      </c>
      <c r="G23" s="27" t="s">
        <v>2</v>
      </c>
      <c r="H23" s="24" t="s">
        <v>3</v>
      </c>
      <c r="I23" s="27" t="s">
        <v>2</v>
      </c>
      <c r="J23" s="24" t="s">
        <v>3</v>
      </c>
      <c r="K23" s="27" t="s">
        <v>2</v>
      </c>
      <c r="L23" s="24" t="s">
        <v>3</v>
      </c>
      <c r="M23" s="27" t="s">
        <v>2</v>
      </c>
      <c r="N23" s="24" t="s">
        <v>3</v>
      </c>
      <c r="O23" s="27" t="s">
        <v>2</v>
      </c>
      <c r="P23" s="25" t="s">
        <v>3</v>
      </c>
    </row>
    <row r="24" spans="1:16" ht="12.75">
      <c r="A24" s="10">
        <v>1</v>
      </c>
      <c r="B24" s="16" t="e">
        <f>B8</f>
        <v>#REF!</v>
      </c>
      <c r="C24" s="14" t="e">
        <f>C8</f>
        <v>#REF!</v>
      </c>
      <c r="D24" s="17" t="e">
        <f aca="true" t="shared" si="4" ref="D24:D34">C24/$C$19</f>
        <v>#REF!</v>
      </c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6"/>
    </row>
    <row r="25" spans="1:16" ht="12.75">
      <c r="A25" s="10">
        <v>2</v>
      </c>
      <c r="B25" s="16" t="e">
        <f aca="true" t="shared" si="5" ref="B25:C34">B9</f>
        <v>#REF!</v>
      </c>
      <c r="C25" s="14" t="e">
        <f t="shared" si="5"/>
        <v>#REF!</v>
      </c>
      <c r="D25" s="17" t="e">
        <f t="shared" si="4"/>
        <v>#REF!</v>
      </c>
      <c r="E25" s="20"/>
      <c r="F25" s="23"/>
      <c r="G25" s="20"/>
      <c r="H25" s="23"/>
      <c r="I25" s="20"/>
      <c r="J25" s="23"/>
      <c r="K25" s="20"/>
      <c r="L25" s="23"/>
      <c r="M25" s="20"/>
      <c r="N25" s="23"/>
      <c r="O25" s="20"/>
      <c r="P25" s="26"/>
    </row>
    <row r="26" spans="1:16" ht="12.75">
      <c r="A26" s="10">
        <v>3</v>
      </c>
      <c r="B26" s="16" t="e">
        <f t="shared" si="5"/>
        <v>#REF!</v>
      </c>
      <c r="C26" s="14" t="e">
        <f t="shared" si="5"/>
        <v>#REF!</v>
      </c>
      <c r="D26" s="17" t="e">
        <f t="shared" si="4"/>
        <v>#REF!</v>
      </c>
      <c r="E26" s="18" t="e">
        <f>E10</f>
        <v>#REF!</v>
      </c>
      <c r="F26" s="19" t="e">
        <f>E26/$C$19</f>
        <v>#REF!</v>
      </c>
      <c r="G26" s="18" t="e">
        <f>E26</f>
        <v>#REF!</v>
      </c>
      <c r="H26" s="19" t="e">
        <f>G26/$C$19</f>
        <v>#REF!</v>
      </c>
      <c r="I26" s="18" t="e">
        <f>G26</f>
        <v>#REF!</v>
      </c>
      <c r="J26" s="19" t="e">
        <f>I26/$C$19</f>
        <v>#REF!</v>
      </c>
      <c r="K26" s="18" t="e">
        <f>E26</f>
        <v>#REF!</v>
      </c>
      <c r="L26" s="19" t="e">
        <f aca="true" t="shared" si="6" ref="L26:N34">K26/$C$19</f>
        <v>#REF!</v>
      </c>
      <c r="M26" s="18" t="e">
        <f>G26</f>
        <v>#REF!</v>
      </c>
      <c r="N26" s="19" t="e">
        <f t="shared" si="6"/>
        <v>#REF!</v>
      </c>
      <c r="O26" s="18" t="e">
        <f>I26</f>
        <v>#REF!</v>
      </c>
      <c r="P26" s="22" t="e">
        <f aca="true" t="shared" si="7" ref="P26:P34">O26/$C$19</f>
        <v>#REF!</v>
      </c>
    </row>
    <row r="27" spans="1:16" ht="12.75">
      <c r="A27" s="10">
        <v>4</v>
      </c>
      <c r="B27" s="16" t="e">
        <f t="shared" si="5"/>
        <v>#REF!</v>
      </c>
      <c r="C27" s="14" t="e">
        <f t="shared" si="5"/>
        <v>#REF!</v>
      </c>
      <c r="D27" s="17" t="e">
        <f t="shared" si="4"/>
        <v>#REF!</v>
      </c>
      <c r="E27" s="18" t="e">
        <f>C27/6</f>
        <v>#REF!</v>
      </c>
      <c r="F27" s="19" t="e">
        <f>E27/$C$19</f>
        <v>#REF!</v>
      </c>
      <c r="G27" s="18" t="e">
        <f>E27</f>
        <v>#REF!</v>
      </c>
      <c r="H27" s="19" t="e">
        <f>G27/$C$19</f>
        <v>#REF!</v>
      </c>
      <c r="I27" s="18" t="e">
        <f>E27</f>
        <v>#REF!</v>
      </c>
      <c r="J27" s="19" t="e">
        <f>I27/$C$19</f>
        <v>#REF!</v>
      </c>
      <c r="K27" s="18" t="e">
        <f>I27</f>
        <v>#REF!</v>
      </c>
      <c r="L27" s="19" t="e">
        <f t="shared" si="6"/>
        <v>#REF!</v>
      </c>
      <c r="M27" s="18" t="e">
        <f>K27</f>
        <v>#REF!</v>
      </c>
      <c r="N27" s="19" t="e">
        <f t="shared" si="6"/>
        <v>#REF!</v>
      </c>
      <c r="O27" s="18" t="e">
        <f>M27</f>
        <v>#REF!</v>
      </c>
      <c r="P27" s="22" t="e">
        <f t="shared" si="7"/>
        <v>#REF!</v>
      </c>
    </row>
    <row r="28" spans="1:16" ht="12.75">
      <c r="A28" s="10">
        <v>5</v>
      </c>
      <c r="B28" s="16" t="e">
        <f t="shared" si="5"/>
        <v>#REF!</v>
      </c>
      <c r="C28" s="14" t="e">
        <f t="shared" si="5"/>
        <v>#REF!</v>
      </c>
      <c r="D28" s="17" t="e">
        <f t="shared" si="4"/>
        <v>#REF!</v>
      </c>
      <c r="E28" s="18" t="e">
        <f>C28/6</f>
        <v>#REF!</v>
      </c>
      <c r="F28" s="19" t="e">
        <f>E28/$C$19</f>
        <v>#REF!</v>
      </c>
      <c r="G28" s="18" t="e">
        <f>E28</f>
        <v>#REF!</v>
      </c>
      <c r="H28" s="19" t="e">
        <f>G28/$C$19</f>
        <v>#REF!</v>
      </c>
      <c r="I28" s="18" t="e">
        <f>E28</f>
        <v>#REF!</v>
      </c>
      <c r="J28" s="19" t="e">
        <f>I28/$C$19</f>
        <v>#REF!</v>
      </c>
      <c r="K28" s="18" t="e">
        <f>I28</f>
        <v>#REF!</v>
      </c>
      <c r="L28" s="19" t="e">
        <f t="shared" si="6"/>
        <v>#REF!</v>
      </c>
      <c r="M28" s="18" t="e">
        <f>K28</f>
        <v>#REF!</v>
      </c>
      <c r="N28" s="19" t="e">
        <f t="shared" si="6"/>
        <v>#REF!</v>
      </c>
      <c r="O28" s="18" t="e">
        <f>M28</f>
        <v>#REF!</v>
      </c>
      <c r="P28" s="22" t="e">
        <f t="shared" si="7"/>
        <v>#REF!</v>
      </c>
    </row>
    <row r="29" spans="1:16" ht="12.75">
      <c r="A29" s="10">
        <v>6</v>
      </c>
      <c r="B29" s="16" t="e">
        <f t="shared" si="5"/>
        <v>#REF!</v>
      </c>
      <c r="C29" s="14" t="e">
        <f t="shared" si="5"/>
        <v>#REF!</v>
      </c>
      <c r="D29" s="17" t="e">
        <f t="shared" si="4"/>
        <v>#REF!</v>
      </c>
      <c r="E29" s="18" t="e">
        <f>E13</f>
        <v>#REF!</v>
      </c>
      <c r="F29" s="19" t="e">
        <f>E29/$C$19</f>
        <v>#REF!</v>
      </c>
      <c r="G29" s="18" t="e">
        <f>E13</f>
        <v>#REF!</v>
      </c>
      <c r="H29" s="19" t="e">
        <f>G29/$C$19</f>
        <v>#REF!</v>
      </c>
      <c r="I29" s="18" t="e">
        <f>E29</f>
        <v>#REF!</v>
      </c>
      <c r="J29" s="19" t="e">
        <f>I29/$C$19</f>
        <v>#REF!</v>
      </c>
      <c r="K29" s="18" t="e">
        <f>E29</f>
        <v>#REF!</v>
      </c>
      <c r="L29" s="19" t="e">
        <f t="shared" si="6"/>
        <v>#REF!</v>
      </c>
      <c r="M29" s="18" t="e">
        <f>G29</f>
        <v>#REF!</v>
      </c>
      <c r="N29" s="19" t="e">
        <f t="shared" si="6"/>
        <v>#REF!</v>
      </c>
      <c r="O29" s="18" t="e">
        <f>I29</f>
        <v>#REF!</v>
      </c>
      <c r="P29" s="22" t="e">
        <f t="shared" si="7"/>
        <v>#REF!</v>
      </c>
    </row>
    <row r="30" spans="1:16" ht="12.75">
      <c r="A30" s="10">
        <v>7</v>
      </c>
      <c r="B30" s="16" t="e">
        <f t="shared" si="5"/>
        <v>#REF!</v>
      </c>
      <c r="C30" s="14" t="e">
        <f t="shared" si="5"/>
        <v>#REF!</v>
      </c>
      <c r="D30" s="17" t="e">
        <f t="shared" si="4"/>
        <v>#REF!</v>
      </c>
      <c r="E30" s="18" t="e">
        <f>E14</f>
        <v>#REF!</v>
      </c>
      <c r="F30" s="19" t="e">
        <f>E30/$C$19</f>
        <v>#REF!</v>
      </c>
      <c r="G30" s="18" t="e">
        <f>E14</f>
        <v>#REF!</v>
      </c>
      <c r="H30" s="19" t="e">
        <f>G30/$C$19</f>
        <v>#REF!</v>
      </c>
      <c r="I30" s="18" t="e">
        <f>E30</f>
        <v>#REF!</v>
      </c>
      <c r="J30" s="19" t="e">
        <f>I30/$C$19</f>
        <v>#REF!</v>
      </c>
      <c r="K30" s="18" t="e">
        <f>I30</f>
        <v>#REF!</v>
      </c>
      <c r="L30" s="19" t="e">
        <f t="shared" si="6"/>
        <v>#REF!</v>
      </c>
      <c r="M30" s="18" t="e">
        <f>K30</f>
        <v>#REF!</v>
      </c>
      <c r="N30" s="19" t="e">
        <f t="shared" si="6"/>
        <v>#REF!</v>
      </c>
      <c r="O30" s="18" t="e">
        <f>M30</f>
        <v>#REF!</v>
      </c>
      <c r="P30" s="22" t="e">
        <f t="shared" si="7"/>
        <v>#REF!</v>
      </c>
    </row>
    <row r="31" spans="1:16" ht="12.75">
      <c r="A31" s="10">
        <v>8</v>
      </c>
      <c r="B31" s="16" t="e">
        <f t="shared" si="5"/>
        <v>#REF!</v>
      </c>
      <c r="C31" s="14" t="e">
        <f t="shared" si="5"/>
        <v>#REF!</v>
      </c>
      <c r="D31" s="17" t="e">
        <f t="shared" si="4"/>
        <v>#REF!</v>
      </c>
      <c r="E31" s="18" t="e">
        <f>K15</f>
        <v>#REF!</v>
      </c>
      <c r="F31" s="19" t="e">
        <f>E31/C19</f>
        <v>#REF!</v>
      </c>
      <c r="G31" s="18" t="e">
        <f>E31</f>
        <v>#REF!</v>
      </c>
      <c r="H31" s="19" t="e">
        <f>F31</f>
        <v>#REF!</v>
      </c>
      <c r="I31" s="18" t="e">
        <f>G31</f>
        <v>#REF!</v>
      </c>
      <c r="J31" s="19" t="e">
        <f>H31</f>
        <v>#REF!</v>
      </c>
      <c r="K31" s="18" t="e">
        <f>G31</f>
        <v>#REF!</v>
      </c>
      <c r="L31" s="19" t="e">
        <f t="shared" si="6"/>
        <v>#REF!</v>
      </c>
      <c r="M31" s="18" t="e">
        <f>I31</f>
        <v>#REF!</v>
      </c>
      <c r="N31" s="19" t="e">
        <f t="shared" si="6"/>
        <v>#REF!</v>
      </c>
      <c r="O31" s="18" t="e">
        <f>K31</f>
        <v>#REF!</v>
      </c>
      <c r="P31" s="22" t="e">
        <f t="shared" si="7"/>
        <v>#REF!</v>
      </c>
    </row>
    <row r="32" spans="1:16" ht="12.75">
      <c r="A32" s="10">
        <v>9</v>
      </c>
      <c r="B32" s="16" t="e">
        <f t="shared" si="5"/>
        <v>#REF!</v>
      </c>
      <c r="C32" s="14" t="e">
        <f t="shared" si="5"/>
        <v>#REF!</v>
      </c>
      <c r="D32" s="17" t="e">
        <f t="shared" si="4"/>
        <v>#REF!</v>
      </c>
      <c r="E32" s="20"/>
      <c r="F32" s="23"/>
      <c r="G32" s="20"/>
      <c r="H32" s="23"/>
      <c r="I32" s="20"/>
      <c r="J32" s="23"/>
      <c r="K32" s="18" t="e">
        <f>C32/3</f>
        <v>#REF!</v>
      </c>
      <c r="L32" s="19" t="e">
        <f t="shared" si="6"/>
        <v>#REF!</v>
      </c>
      <c r="M32" s="18" t="e">
        <f>K32</f>
        <v>#REF!</v>
      </c>
      <c r="N32" s="19" t="e">
        <f t="shared" si="6"/>
        <v>#REF!</v>
      </c>
      <c r="O32" s="18" t="e">
        <f>K32</f>
        <v>#REF!</v>
      </c>
      <c r="P32" s="22" t="e">
        <f t="shared" si="7"/>
        <v>#REF!</v>
      </c>
    </row>
    <row r="33" spans="1:16" ht="12.75">
      <c r="A33" s="10">
        <v>10</v>
      </c>
      <c r="B33" s="16" t="e">
        <f t="shared" si="5"/>
        <v>#REF!</v>
      </c>
      <c r="C33" s="14" t="e">
        <f t="shared" si="5"/>
        <v>#REF!</v>
      </c>
      <c r="D33" s="17" t="e">
        <f t="shared" si="4"/>
        <v>#REF!</v>
      </c>
      <c r="E33" s="20"/>
      <c r="F33" s="23"/>
      <c r="G33" s="20"/>
      <c r="H33" s="23"/>
      <c r="I33" s="20"/>
      <c r="J33" s="23"/>
      <c r="K33" s="18" t="e">
        <f>C33/3</f>
        <v>#REF!</v>
      </c>
      <c r="L33" s="19" t="e">
        <f t="shared" si="6"/>
        <v>#REF!</v>
      </c>
      <c r="M33" s="18" t="e">
        <f>K33</f>
        <v>#REF!</v>
      </c>
      <c r="N33" s="19" t="e">
        <f t="shared" si="6"/>
        <v>#REF!</v>
      </c>
      <c r="O33" s="18" t="e">
        <f>K33</f>
        <v>#REF!</v>
      </c>
      <c r="P33" s="22" t="e">
        <f t="shared" si="7"/>
        <v>#REF!</v>
      </c>
    </row>
    <row r="34" spans="1:16" ht="12.75">
      <c r="A34" s="10">
        <v>11</v>
      </c>
      <c r="B34" s="16" t="e">
        <f t="shared" si="5"/>
        <v>#REF!</v>
      </c>
      <c r="C34" s="14" t="e">
        <f t="shared" si="5"/>
        <v>#REF!</v>
      </c>
      <c r="D34" s="17" t="e">
        <f t="shared" si="4"/>
        <v>#REF!</v>
      </c>
      <c r="E34" s="20"/>
      <c r="F34" s="23"/>
      <c r="G34" s="20"/>
      <c r="H34" s="23"/>
      <c r="I34" s="20"/>
      <c r="J34" s="23"/>
      <c r="K34" s="18" t="e">
        <f>C34/3</f>
        <v>#REF!</v>
      </c>
      <c r="L34" s="19" t="e">
        <f t="shared" si="6"/>
        <v>#REF!</v>
      </c>
      <c r="M34" s="18" t="e">
        <f>K34</f>
        <v>#REF!</v>
      </c>
      <c r="N34" s="19" t="e">
        <f t="shared" si="6"/>
        <v>#REF!</v>
      </c>
      <c r="O34" s="18" t="e">
        <f>K34</f>
        <v>#REF!</v>
      </c>
      <c r="P34" s="22" t="e">
        <f t="shared" si="7"/>
        <v>#REF!</v>
      </c>
    </row>
    <row r="35" spans="1:16" ht="12.75">
      <c r="A35" s="10"/>
      <c r="B35" s="13" t="s">
        <v>4</v>
      </c>
      <c r="C35" s="28" t="e">
        <f aca="true" t="shared" si="8" ref="C35:P35">SUM(C24:C34)</f>
        <v>#REF!</v>
      </c>
      <c r="D35" s="29" t="e">
        <f t="shared" si="8"/>
        <v>#REF!</v>
      </c>
      <c r="E35" s="27" t="e">
        <f t="shared" si="8"/>
        <v>#REF!</v>
      </c>
      <c r="F35" s="24" t="e">
        <f t="shared" si="8"/>
        <v>#REF!</v>
      </c>
      <c r="G35" s="27" t="e">
        <f t="shared" si="8"/>
        <v>#REF!</v>
      </c>
      <c r="H35" s="24" t="e">
        <f t="shared" si="8"/>
        <v>#REF!</v>
      </c>
      <c r="I35" s="27" t="e">
        <f t="shared" si="8"/>
        <v>#REF!</v>
      </c>
      <c r="J35" s="24" t="e">
        <f t="shared" si="8"/>
        <v>#REF!</v>
      </c>
      <c r="K35" s="27" t="e">
        <f t="shared" si="8"/>
        <v>#REF!</v>
      </c>
      <c r="L35" s="24" t="e">
        <f t="shared" si="8"/>
        <v>#REF!</v>
      </c>
      <c r="M35" s="27" t="e">
        <f t="shared" si="8"/>
        <v>#REF!</v>
      </c>
      <c r="N35" s="24" t="e">
        <f t="shared" si="8"/>
        <v>#REF!</v>
      </c>
      <c r="O35" s="27" t="e">
        <f t="shared" si="8"/>
        <v>#REF!</v>
      </c>
      <c r="P35" s="25" t="e">
        <f t="shared" si="8"/>
        <v>#REF!</v>
      </c>
    </row>
    <row r="36" spans="1:16" ht="13.5" thickBot="1">
      <c r="A36" s="33"/>
      <c r="B36" s="34" t="s">
        <v>5</v>
      </c>
      <c r="C36" s="34"/>
      <c r="D36" s="34"/>
      <c r="E36" s="35" t="e">
        <f>E35+O20</f>
        <v>#REF!</v>
      </c>
      <c r="F36" s="36" t="e">
        <f>F35+P20</f>
        <v>#REF!</v>
      </c>
      <c r="G36" s="35" t="e">
        <f aca="true" t="shared" si="9" ref="G36:P36">E36+G35</f>
        <v>#REF!</v>
      </c>
      <c r="H36" s="36" t="e">
        <f t="shared" si="9"/>
        <v>#REF!</v>
      </c>
      <c r="I36" s="35" t="e">
        <f t="shared" si="9"/>
        <v>#REF!</v>
      </c>
      <c r="J36" s="36" t="e">
        <f t="shared" si="9"/>
        <v>#REF!</v>
      </c>
      <c r="K36" s="37" t="e">
        <f t="shared" si="9"/>
        <v>#REF!</v>
      </c>
      <c r="L36" s="38" t="e">
        <f t="shared" si="9"/>
        <v>#REF!</v>
      </c>
      <c r="M36" s="37" t="e">
        <f t="shared" si="9"/>
        <v>#REF!</v>
      </c>
      <c r="N36" s="38" t="e">
        <f t="shared" si="9"/>
        <v>#REF!</v>
      </c>
      <c r="O36" s="37" t="e">
        <f t="shared" si="9"/>
        <v>#REF!</v>
      </c>
      <c r="P36" s="39" t="e">
        <f t="shared" si="9"/>
        <v>#REF!</v>
      </c>
    </row>
    <row r="37" ht="12.75">
      <c r="J37" s="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SheetLayoutView="100" zoomScalePageLayoutView="0" workbookViewId="0" topLeftCell="A16">
      <selection activeCell="G16" sqref="G16:I24"/>
    </sheetView>
  </sheetViews>
  <sheetFormatPr defaultColWidth="9.140625" defaultRowHeight="12.75"/>
  <cols>
    <col min="1" max="1" width="7.140625" style="145" customWidth="1"/>
    <col min="2" max="2" width="9.421875" style="145" customWidth="1"/>
    <col min="3" max="3" width="54.140625" style="145" customWidth="1"/>
    <col min="4" max="4" width="6.28125" style="145" customWidth="1"/>
    <col min="5" max="5" width="10.28125" style="145" customWidth="1"/>
    <col min="6" max="6" width="10.7109375" style="145" bestFit="1" customWidth="1"/>
    <col min="7" max="15" width="11.7109375" style="145" customWidth="1"/>
    <col min="16" max="16" width="10.7109375" style="145" customWidth="1"/>
    <col min="17" max="16384" width="9.140625" style="145" customWidth="1"/>
  </cols>
  <sheetData>
    <row r="1" ht="37.5" customHeight="1">
      <c r="A1" s="107" t="s">
        <v>67</v>
      </c>
    </row>
    <row r="2" spans="1:16" ht="12.75" customHeight="1">
      <c r="A2" s="284" t="s">
        <v>116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1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</row>
    <row r="4" spans="1:8" ht="12.75" customHeight="1">
      <c r="A4" s="147"/>
      <c r="B4" s="147"/>
      <c r="C4" s="147"/>
      <c r="D4" s="147"/>
      <c r="E4" s="147"/>
      <c r="F4" s="147"/>
      <c r="G4" s="147"/>
      <c r="H4" s="147"/>
    </row>
    <row r="5" spans="1:7" ht="15.75" customHeight="1">
      <c r="A5" s="281" t="str">
        <f>Orçamento!A5</f>
        <v>Edital :</v>
      </c>
      <c r="B5" s="281"/>
      <c r="C5" s="94" t="str">
        <f>Orçamento!C5</f>
        <v>TP -xxx</v>
      </c>
      <c r="D5" s="281" t="s">
        <v>132</v>
      </c>
      <c r="E5" s="281"/>
      <c r="F5" s="285">
        <f>QCI!F5</f>
        <v>26.52</v>
      </c>
      <c r="G5" s="286"/>
    </row>
    <row r="6" spans="1:7" ht="12.75">
      <c r="A6" s="281" t="str">
        <f>Orçamento!A6</f>
        <v>N° Contrato de Repasse:</v>
      </c>
      <c r="B6" s="281"/>
      <c r="C6" s="149" t="str">
        <f>Orçamento!C6</f>
        <v>Recursos proprios</v>
      </c>
      <c r="D6" s="281" t="s">
        <v>98</v>
      </c>
      <c r="E6" s="281"/>
      <c r="F6" s="279">
        <f>Orçamento!H132</f>
        <v>0</v>
      </c>
      <c r="G6" s="280"/>
    </row>
    <row r="7" spans="1:8" ht="12.75">
      <c r="A7" s="281" t="str">
        <f>Orçamento!A7</f>
        <v>Tomador: </v>
      </c>
      <c r="B7" s="281"/>
      <c r="C7" s="149" t="str">
        <f>Orçamento!C7</f>
        <v>Prefeitura Municipal de Dois Vizinhos - PR</v>
      </c>
      <c r="D7" s="281" t="s">
        <v>81</v>
      </c>
      <c r="E7" s="281"/>
      <c r="F7" s="279">
        <f>F6/F5</f>
        <v>0</v>
      </c>
      <c r="G7" s="280"/>
      <c r="H7" s="151"/>
    </row>
    <row r="8" spans="1:8" ht="12.75">
      <c r="A8" s="281" t="str">
        <f>Orçamento!A8</f>
        <v>Empreendimento: </v>
      </c>
      <c r="B8" s="281"/>
      <c r="C8" s="149" t="str">
        <f>Orçamento!C8</f>
        <v>chuveiros e reservatorio d'agua </v>
      </c>
      <c r="D8" s="148"/>
      <c r="E8" s="152"/>
      <c r="F8" s="152"/>
      <c r="G8" s="152"/>
      <c r="H8" s="151"/>
    </row>
    <row r="9" spans="1:8" ht="12.75">
      <c r="A9" s="281" t="str">
        <f>Orçamento!A9</f>
        <v>Local da Obra:</v>
      </c>
      <c r="B9" s="281"/>
      <c r="C9" s="149" t="str">
        <f>Orçamento!C9</f>
        <v>Parque de Exposições</v>
      </c>
      <c r="D9" s="148"/>
      <c r="E9" s="152"/>
      <c r="F9" s="152"/>
      <c r="G9" s="152"/>
      <c r="H9" s="151"/>
    </row>
    <row r="10" spans="1:8" ht="12.75">
      <c r="A10" s="281" t="str">
        <f>Orçamento!A10</f>
        <v>Empresa Prop.:</v>
      </c>
      <c r="B10" s="281"/>
      <c r="C10" s="94" t="str">
        <f>Orçamento!C10</f>
        <v>xxxxxxxxxxxxxx</v>
      </c>
      <c r="D10" s="148"/>
      <c r="E10" s="152"/>
      <c r="F10" s="152"/>
      <c r="G10" s="152"/>
      <c r="H10" s="151"/>
    </row>
    <row r="11" spans="1:8" ht="12.75">
      <c r="A11" s="281" t="str">
        <f>Orçamento!A11</f>
        <v>CNPJ:</v>
      </c>
      <c r="B11" s="281"/>
      <c r="C11" s="94" t="str">
        <f>Orçamento!C11</f>
        <v>xxxxxxxxxxxxxx</v>
      </c>
      <c r="D11" s="148"/>
      <c r="E11" s="148"/>
      <c r="F11" s="153"/>
      <c r="G11" s="154"/>
      <c r="H11" s="119"/>
    </row>
    <row r="12" spans="1:8" ht="12.75">
      <c r="A12" s="281" t="str">
        <f>Orçamento!A12</f>
        <v>Data Base:</v>
      </c>
      <c r="B12" s="281"/>
      <c r="C12" s="95" t="str">
        <f>Orçamento!C12</f>
        <v>xxxxxxxxxxxxxx</v>
      </c>
      <c r="D12" s="148"/>
      <c r="E12" s="148"/>
      <c r="F12" s="153"/>
      <c r="G12" s="154"/>
      <c r="H12" s="119"/>
    </row>
    <row r="13" spans="1:8" ht="12.75">
      <c r="A13" s="281" t="str">
        <f>Orçamento!A13</f>
        <v>BDI Adotado </v>
      </c>
      <c r="B13" s="281"/>
      <c r="C13" s="155">
        <f>Orçamento!C13</f>
        <v>0.04709999999999992</v>
      </c>
      <c r="D13" s="152"/>
      <c r="E13" s="152"/>
      <c r="F13" s="152"/>
      <c r="G13" s="152"/>
      <c r="H13" s="151"/>
    </row>
    <row r="15" spans="2:16" ht="12.75">
      <c r="B15" s="159" t="s">
        <v>73</v>
      </c>
      <c r="C15" s="272" t="s">
        <v>97</v>
      </c>
      <c r="D15" s="272"/>
      <c r="E15" s="272" t="s">
        <v>103</v>
      </c>
      <c r="F15" s="272"/>
      <c r="G15" s="159" t="s">
        <v>104</v>
      </c>
      <c r="H15" s="159" t="s">
        <v>105</v>
      </c>
      <c r="I15" s="159" t="s">
        <v>106</v>
      </c>
      <c r="J15" s="159" t="s">
        <v>107</v>
      </c>
      <c r="K15" s="159" t="s">
        <v>108</v>
      </c>
      <c r="L15" s="159" t="s">
        <v>109</v>
      </c>
      <c r="M15" s="159" t="s">
        <v>110</v>
      </c>
      <c r="N15" s="159" t="s">
        <v>111</v>
      </c>
      <c r="O15" s="159" t="s">
        <v>112</v>
      </c>
      <c r="P15" s="159" t="s">
        <v>113</v>
      </c>
    </row>
    <row r="16" spans="2:16" ht="12.75">
      <c r="B16" s="160">
        <f>QCI!B23</f>
        <v>1</v>
      </c>
      <c r="C16" s="293" t="str">
        <f>QCI!C23</f>
        <v>SERVIÇOS PRELIMINARES</v>
      </c>
      <c r="D16" s="293"/>
      <c r="E16" s="277">
        <f>QCI!F23</f>
        <v>0</v>
      </c>
      <c r="F16" s="277"/>
      <c r="G16" s="220"/>
      <c r="H16" s="220"/>
      <c r="I16" s="220"/>
      <c r="J16" s="161"/>
      <c r="K16" s="161"/>
      <c r="L16" s="161"/>
      <c r="M16" s="161"/>
      <c r="N16" s="161"/>
      <c r="O16" s="161"/>
      <c r="P16" s="222">
        <f>SUM(G16:O16)</f>
        <v>0</v>
      </c>
    </row>
    <row r="17" spans="2:16" ht="12.75">
      <c r="B17" s="160">
        <f>QCI!B24</f>
        <v>2</v>
      </c>
      <c r="C17" s="293" t="str">
        <f>QCI!C24</f>
        <v>ESTRUTURAS DE CONCRETO ARMADO </v>
      </c>
      <c r="D17" s="293"/>
      <c r="E17" s="277">
        <f>QCI!F24</f>
        <v>0</v>
      </c>
      <c r="F17" s="277"/>
      <c r="G17" s="221"/>
      <c r="H17" s="220"/>
      <c r="I17" s="220"/>
      <c r="J17" s="161"/>
      <c r="K17" s="161"/>
      <c r="L17" s="161"/>
      <c r="M17" s="161"/>
      <c r="N17" s="161"/>
      <c r="O17" s="161"/>
      <c r="P17" s="223">
        <f aca="true" t="shared" si="0" ref="P17:P28">SUM(G17:O17)</f>
        <v>0</v>
      </c>
    </row>
    <row r="18" spans="2:16" ht="12.75">
      <c r="B18" s="160">
        <f>QCI!B25</f>
        <v>3</v>
      </c>
      <c r="C18" s="293" t="str">
        <f>QCI!C25</f>
        <v>ALVENARIAS, REVESTIMENTO ARGAMASSADOS E CERÂMICOS</v>
      </c>
      <c r="D18" s="293"/>
      <c r="E18" s="277">
        <f>QCI!F25</f>
        <v>0</v>
      </c>
      <c r="F18" s="277"/>
      <c r="G18" s="221"/>
      <c r="H18" s="220"/>
      <c r="I18" s="220"/>
      <c r="J18" s="161"/>
      <c r="K18" s="161"/>
      <c r="L18" s="166"/>
      <c r="M18" s="166"/>
      <c r="N18" s="166"/>
      <c r="O18" s="166"/>
      <c r="P18" s="223">
        <f t="shared" si="0"/>
        <v>0</v>
      </c>
    </row>
    <row r="19" spans="2:16" ht="12.75">
      <c r="B19" s="160">
        <f>QCI!B26</f>
        <v>4</v>
      </c>
      <c r="C19" s="293" t="str">
        <f>QCI!C26</f>
        <v>COBERTURA</v>
      </c>
      <c r="D19" s="293"/>
      <c r="E19" s="277">
        <f>QCI!F26</f>
        <v>0</v>
      </c>
      <c r="F19" s="277"/>
      <c r="G19" s="221"/>
      <c r="H19" s="221"/>
      <c r="I19" s="221"/>
      <c r="J19" s="166"/>
      <c r="K19" s="166"/>
      <c r="L19" s="166"/>
      <c r="M19" s="166"/>
      <c r="N19" s="166"/>
      <c r="O19" s="166"/>
      <c r="P19" s="223">
        <f t="shared" si="0"/>
        <v>0</v>
      </c>
    </row>
    <row r="20" spans="2:16" ht="12.75">
      <c r="B20" s="160">
        <f>QCI!B27</f>
        <v>5</v>
      </c>
      <c r="C20" s="293" t="str">
        <f>QCI!C27</f>
        <v>ESQUADRIAS E DIVISORIAS</v>
      </c>
      <c r="D20" s="293"/>
      <c r="E20" s="277">
        <f>QCI!F27</f>
        <v>0</v>
      </c>
      <c r="F20" s="277"/>
      <c r="G20" s="221"/>
      <c r="H20" s="221"/>
      <c r="I20" s="221"/>
      <c r="J20" s="166"/>
      <c r="K20" s="166"/>
      <c r="L20" s="166"/>
      <c r="M20" s="166"/>
      <c r="N20" s="166"/>
      <c r="O20" s="166"/>
      <c r="P20" s="223">
        <f t="shared" si="0"/>
        <v>0</v>
      </c>
    </row>
    <row r="21" spans="2:16" ht="12.75">
      <c r="B21" s="160">
        <f>QCI!B28</f>
        <v>6</v>
      </c>
      <c r="C21" s="293" t="str">
        <f>QCI!C28</f>
        <v>HIDROSANITARIO</v>
      </c>
      <c r="D21" s="293"/>
      <c r="E21" s="277">
        <f>QCI!F28</f>
        <v>0</v>
      </c>
      <c r="F21" s="277"/>
      <c r="G21" s="221"/>
      <c r="H21" s="221"/>
      <c r="I21" s="221"/>
      <c r="J21" s="166"/>
      <c r="K21" s="166"/>
      <c r="L21" s="166"/>
      <c r="M21" s="166"/>
      <c r="N21" s="166"/>
      <c r="O21" s="166"/>
      <c r="P21" s="223">
        <f t="shared" si="0"/>
        <v>0</v>
      </c>
    </row>
    <row r="22" spans="2:16" ht="12.75">
      <c r="B22" s="160">
        <f>QCI!B29</f>
        <v>7</v>
      </c>
      <c r="C22" s="293" t="str">
        <f>QCI!C29</f>
        <v>ELÉTRICO</v>
      </c>
      <c r="D22" s="293"/>
      <c r="E22" s="277">
        <f>QCI!F29</f>
        <v>0</v>
      </c>
      <c r="F22" s="277"/>
      <c r="G22" s="221"/>
      <c r="H22" s="221"/>
      <c r="I22" s="221"/>
      <c r="J22" s="166"/>
      <c r="K22" s="166"/>
      <c r="L22" s="166"/>
      <c r="M22" s="166"/>
      <c r="N22" s="166"/>
      <c r="O22" s="166"/>
      <c r="P22" s="223">
        <f t="shared" si="0"/>
        <v>0</v>
      </c>
    </row>
    <row r="23" spans="2:16" ht="12.75">
      <c r="B23" s="160">
        <f>QCI!B30</f>
        <v>8</v>
      </c>
      <c r="C23" s="293" t="str">
        <f>QCI!C30</f>
        <v>PINTURA</v>
      </c>
      <c r="D23" s="293"/>
      <c r="E23" s="277">
        <f>QCI!F30</f>
        <v>0</v>
      </c>
      <c r="F23" s="277"/>
      <c r="G23" s="221"/>
      <c r="H23" s="221"/>
      <c r="I23" s="221"/>
      <c r="J23" s="166"/>
      <c r="K23" s="166"/>
      <c r="L23" s="166"/>
      <c r="M23" s="166"/>
      <c r="N23" s="166"/>
      <c r="O23" s="166"/>
      <c r="P23" s="223">
        <f t="shared" si="0"/>
        <v>0</v>
      </c>
    </row>
    <row r="24" spans="2:16" ht="12.75">
      <c r="B24" s="160">
        <f>QCI!B31</f>
        <v>7</v>
      </c>
      <c r="C24" s="293" t="str">
        <f>QCI!C31</f>
        <v>URBANIZAÇÃO </v>
      </c>
      <c r="D24" s="293"/>
      <c r="E24" s="277">
        <f>QCI!F31</f>
        <v>0</v>
      </c>
      <c r="F24" s="277"/>
      <c r="G24" s="221"/>
      <c r="H24" s="221"/>
      <c r="I24" s="221"/>
      <c r="J24" s="166"/>
      <c r="K24" s="166"/>
      <c r="L24" s="166"/>
      <c r="M24" s="166"/>
      <c r="N24" s="166"/>
      <c r="O24" s="166"/>
      <c r="P24" s="223">
        <f t="shared" si="0"/>
        <v>0</v>
      </c>
    </row>
    <row r="25" spans="2:16" ht="12.75">
      <c r="B25" s="160"/>
      <c r="C25" s="293"/>
      <c r="D25" s="293"/>
      <c r="E25" s="273"/>
      <c r="F25" s="273"/>
      <c r="G25" s="166"/>
      <c r="H25" s="166"/>
      <c r="I25" s="166"/>
      <c r="J25" s="166"/>
      <c r="K25" s="166"/>
      <c r="L25" s="166"/>
      <c r="M25" s="166"/>
      <c r="N25" s="166"/>
      <c r="O25" s="166"/>
      <c r="P25" s="223">
        <f t="shared" si="0"/>
        <v>0</v>
      </c>
    </row>
    <row r="26" spans="2:16" ht="12.75">
      <c r="B26" s="160"/>
      <c r="C26" s="293"/>
      <c r="D26" s="293"/>
      <c r="E26" s="273"/>
      <c r="F26" s="273"/>
      <c r="G26" s="166"/>
      <c r="H26" s="166"/>
      <c r="I26" s="166"/>
      <c r="J26" s="166"/>
      <c r="K26" s="166"/>
      <c r="L26" s="166"/>
      <c r="M26" s="166"/>
      <c r="N26" s="166"/>
      <c r="O26" s="166"/>
      <c r="P26" s="223">
        <f t="shared" si="0"/>
        <v>0</v>
      </c>
    </row>
    <row r="27" spans="2:16" ht="12.75">
      <c r="B27" s="164"/>
      <c r="C27" s="300"/>
      <c r="D27" s="300"/>
      <c r="E27" s="273"/>
      <c r="F27" s="273"/>
      <c r="G27" s="166"/>
      <c r="H27" s="166"/>
      <c r="I27" s="166"/>
      <c r="J27" s="166"/>
      <c r="K27" s="166"/>
      <c r="L27" s="166"/>
      <c r="M27" s="166"/>
      <c r="N27" s="166"/>
      <c r="O27" s="166"/>
      <c r="P27" s="223">
        <f t="shared" si="0"/>
        <v>0</v>
      </c>
    </row>
    <row r="28" spans="2:16" ht="12.75">
      <c r="B28" s="168"/>
      <c r="C28" s="301"/>
      <c r="D28" s="301"/>
      <c r="E28" s="270"/>
      <c r="F28" s="270"/>
      <c r="G28" s="224"/>
      <c r="H28" s="224"/>
      <c r="I28" s="224"/>
      <c r="J28" s="224"/>
      <c r="K28" s="224"/>
      <c r="L28" s="224"/>
      <c r="M28" s="224"/>
      <c r="N28" s="224"/>
      <c r="O28" s="224"/>
      <c r="P28" s="225">
        <f t="shared" si="0"/>
        <v>0</v>
      </c>
    </row>
    <row r="29" spans="2:16" ht="12.75">
      <c r="B29" s="294" t="s">
        <v>115</v>
      </c>
      <c r="C29" s="294"/>
      <c r="D29" s="294"/>
      <c r="E29" s="297">
        <v>1</v>
      </c>
      <c r="F29" s="298"/>
      <c r="G29" s="226" t="e">
        <f aca="true" t="shared" si="1" ref="G29:O29">G30/$E$30</f>
        <v>#DIV/0!</v>
      </c>
      <c r="H29" s="226" t="e">
        <f t="shared" si="1"/>
        <v>#DIV/0!</v>
      </c>
      <c r="I29" s="226" t="e">
        <f t="shared" si="1"/>
        <v>#DIV/0!</v>
      </c>
      <c r="J29" s="226" t="e">
        <f t="shared" si="1"/>
        <v>#DIV/0!</v>
      </c>
      <c r="K29" s="226" t="e">
        <f t="shared" si="1"/>
        <v>#DIV/0!</v>
      </c>
      <c r="L29" s="226" t="e">
        <f t="shared" si="1"/>
        <v>#DIV/0!</v>
      </c>
      <c r="M29" s="226" t="e">
        <f t="shared" si="1"/>
        <v>#DIV/0!</v>
      </c>
      <c r="N29" s="226" t="e">
        <f t="shared" si="1"/>
        <v>#DIV/0!</v>
      </c>
      <c r="O29" s="226" t="e">
        <f t="shared" si="1"/>
        <v>#DIV/0!</v>
      </c>
      <c r="P29" s="227"/>
    </row>
    <row r="30" spans="2:16" ht="12.75">
      <c r="B30" s="294" t="s">
        <v>25</v>
      </c>
      <c r="C30" s="294"/>
      <c r="D30" s="294"/>
      <c r="E30" s="299">
        <f>SUM(E16:F28)</f>
        <v>0</v>
      </c>
      <c r="F30" s="273"/>
      <c r="G30" s="165">
        <f aca="true" t="shared" si="2" ref="G30:O30">(G16*$E$16)+(G17*$E$17)+(G18*$E$18)+(G19*$E$19)+(G20*$E$20)+(G21*$E$21)+(G22*$E$22)+(G23*$E$23)+(G24*$E$24)</f>
        <v>0</v>
      </c>
      <c r="H30" s="165">
        <f t="shared" si="2"/>
        <v>0</v>
      </c>
      <c r="I30" s="165">
        <f t="shared" si="2"/>
        <v>0</v>
      </c>
      <c r="J30" s="165">
        <f t="shared" si="2"/>
        <v>0</v>
      </c>
      <c r="K30" s="165">
        <f t="shared" si="2"/>
        <v>0</v>
      </c>
      <c r="L30" s="165">
        <f t="shared" si="2"/>
        <v>0</v>
      </c>
      <c r="M30" s="165">
        <f t="shared" si="2"/>
        <v>0</v>
      </c>
      <c r="N30" s="165">
        <f t="shared" si="2"/>
        <v>0</v>
      </c>
      <c r="O30" s="165">
        <f t="shared" si="2"/>
        <v>0</v>
      </c>
      <c r="P30" s="228"/>
    </row>
    <row r="31" spans="2:16" ht="12.75">
      <c r="B31" s="294" t="s">
        <v>114</v>
      </c>
      <c r="C31" s="294"/>
      <c r="D31" s="294"/>
      <c r="E31" s="295"/>
      <c r="F31" s="296"/>
      <c r="G31" s="229">
        <f>G30</f>
        <v>0</v>
      </c>
      <c r="H31" s="229">
        <f>H30+G31</f>
        <v>0</v>
      </c>
      <c r="I31" s="229">
        <f aca="true" t="shared" si="3" ref="I31:O31">I30+H31</f>
        <v>0</v>
      </c>
      <c r="J31" s="229">
        <f t="shared" si="3"/>
        <v>0</v>
      </c>
      <c r="K31" s="229">
        <f t="shared" si="3"/>
        <v>0</v>
      </c>
      <c r="L31" s="229">
        <f t="shared" si="3"/>
        <v>0</v>
      </c>
      <c r="M31" s="229">
        <f t="shared" si="3"/>
        <v>0</v>
      </c>
      <c r="N31" s="229">
        <f t="shared" si="3"/>
        <v>0</v>
      </c>
      <c r="O31" s="229">
        <f t="shared" si="3"/>
        <v>0</v>
      </c>
      <c r="P31" s="230"/>
    </row>
    <row r="37" spans="6:10" ht="12.75">
      <c r="F37" s="138" t="s">
        <v>117</v>
      </c>
      <c r="G37" s="106"/>
      <c r="H37" s="144"/>
      <c r="I37" s="142"/>
      <c r="J37" s="142"/>
    </row>
    <row r="38" spans="6:10" ht="12.75">
      <c r="F38" s="139" t="s">
        <v>118</v>
      </c>
      <c r="G38" s="143"/>
      <c r="H38" s="142"/>
      <c r="I38" s="142"/>
      <c r="J38" s="142"/>
    </row>
    <row r="39" spans="6:7" ht="12.75">
      <c r="F39" s="140"/>
      <c r="G39" s="88"/>
    </row>
    <row r="40" spans="6:7" ht="12.75">
      <c r="F40" s="140"/>
      <c r="G40" s="88"/>
    </row>
    <row r="41" spans="6:7" ht="12.75">
      <c r="F41" s="85"/>
      <c r="G41" s="110"/>
    </row>
    <row r="42" spans="6:7" ht="12.75">
      <c r="F42" s="110"/>
      <c r="G42" s="110"/>
    </row>
    <row r="43" spans="6:10" ht="12.75">
      <c r="F43" s="138" t="s">
        <v>133</v>
      </c>
      <c r="G43" s="106"/>
      <c r="H43" s="144"/>
      <c r="I43" s="142"/>
      <c r="J43" s="142"/>
    </row>
    <row r="44" spans="6:10" ht="12.75">
      <c r="F44" s="139" t="s">
        <v>61</v>
      </c>
      <c r="G44" s="143"/>
      <c r="H44" s="142"/>
      <c r="I44" s="142"/>
      <c r="J44" s="142"/>
    </row>
  </sheetData>
  <sheetProtection password="C637" sheet="1" selectLockedCells="1"/>
  <mergeCells count="50">
    <mergeCell ref="F5:G5"/>
    <mergeCell ref="A6:B6"/>
    <mergeCell ref="D6:E6"/>
    <mergeCell ref="F6:G6"/>
    <mergeCell ref="A5:B5"/>
    <mergeCell ref="C23:D23"/>
    <mergeCell ref="E20:F20"/>
    <mergeCell ref="E21:F21"/>
    <mergeCell ref="C20:D20"/>
    <mergeCell ref="C16:D16"/>
    <mergeCell ref="C25:D25"/>
    <mergeCell ref="E17:F17"/>
    <mergeCell ref="E18:F18"/>
    <mergeCell ref="E19:F19"/>
    <mergeCell ref="A13:B13"/>
    <mergeCell ref="C15:D15"/>
    <mergeCell ref="E25:F25"/>
    <mergeCell ref="E22:F22"/>
    <mergeCell ref="E23:F23"/>
    <mergeCell ref="E24:F24"/>
    <mergeCell ref="D5:E5"/>
    <mergeCell ref="A9:B9"/>
    <mergeCell ref="A10:B10"/>
    <mergeCell ref="C26:D26"/>
    <mergeCell ref="C27:D27"/>
    <mergeCell ref="C28:D28"/>
    <mergeCell ref="C21:D21"/>
    <mergeCell ref="C22:D22"/>
    <mergeCell ref="E26:F26"/>
    <mergeCell ref="C24:D24"/>
    <mergeCell ref="E30:F30"/>
    <mergeCell ref="B29:D29"/>
    <mergeCell ref="B30:D30"/>
    <mergeCell ref="A2:P3"/>
    <mergeCell ref="A11:B11"/>
    <mergeCell ref="A12:B12"/>
    <mergeCell ref="A7:B7"/>
    <mergeCell ref="D7:E7"/>
    <mergeCell ref="F7:G7"/>
    <mergeCell ref="A8:B8"/>
    <mergeCell ref="C17:D17"/>
    <mergeCell ref="C18:D18"/>
    <mergeCell ref="C19:D19"/>
    <mergeCell ref="E15:F15"/>
    <mergeCell ref="E16:F16"/>
    <mergeCell ref="B31:D31"/>
    <mergeCell ref="E31:F31"/>
    <mergeCell ref="E27:F27"/>
    <mergeCell ref="E28:F28"/>
    <mergeCell ref="E29:F29"/>
  </mergeCells>
  <conditionalFormatting sqref="C16:C27">
    <cfRule type="expression" priority="13" dxfId="49" stopIfTrue="1">
      <formula>$J16=1</formula>
    </cfRule>
    <cfRule type="expression" priority="14" dxfId="50" stopIfTrue="1">
      <formula>$K16=2</formula>
    </cfRule>
    <cfRule type="expression" priority="15" dxfId="51" stopIfTrue="1">
      <formula>$K16=3</formula>
    </cfRule>
  </conditionalFormatting>
  <conditionalFormatting sqref="C28">
    <cfRule type="expression" priority="7" dxfId="49" stopIfTrue="1">
      <formula>$J28=1</formula>
    </cfRule>
    <cfRule type="expression" priority="8" dxfId="50" stopIfTrue="1">
      <formula>$K28=2</formula>
    </cfRule>
    <cfRule type="expression" priority="9" dxfId="51" stopIfTrue="1">
      <formula>$K28=3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34">
      <selection activeCell="A1" sqref="A1:IV16384"/>
    </sheetView>
  </sheetViews>
  <sheetFormatPr defaultColWidth="9.140625" defaultRowHeight="12.75"/>
  <cols>
    <col min="1" max="2" width="9.140625" style="145" customWidth="1"/>
    <col min="3" max="3" width="30.140625" style="145" customWidth="1"/>
    <col min="4" max="16384" width="9.140625" style="145" customWidth="1"/>
  </cols>
  <sheetData>
    <row r="1" spans="1:9" ht="31.5" customHeight="1">
      <c r="A1" s="302" t="s">
        <v>218</v>
      </c>
      <c r="B1" s="303"/>
      <c r="C1" s="303"/>
      <c r="D1" s="304"/>
      <c r="E1" s="305">
        <f>ROUND(SUM(E2:E7),2)</f>
        <v>26.8</v>
      </c>
      <c r="F1" s="305">
        <f>ROUND(SUM(F2:F7),2)</f>
        <v>29.06</v>
      </c>
      <c r="G1" s="306"/>
      <c r="H1" s="307">
        <f>E1</f>
        <v>26.8</v>
      </c>
      <c r="I1" s="308">
        <f>F1</f>
        <v>29.06</v>
      </c>
    </row>
    <row r="2" spans="1:9" ht="34.5" customHeight="1">
      <c r="A2" s="309" t="s">
        <v>136</v>
      </c>
      <c r="B2" s="309" t="s">
        <v>205</v>
      </c>
      <c r="C2" s="310" t="s">
        <v>206</v>
      </c>
      <c r="D2" s="311" t="s">
        <v>143</v>
      </c>
      <c r="E2" s="311">
        <f aca="true" t="shared" si="0" ref="E2:E7">G2*H2</f>
        <v>2.7137025</v>
      </c>
      <c r="F2" s="311">
        <f aca="true" t="shared" si="1" ref="F2:F7">G2*I2</f>
        <v>2.7137025</v>
      </c>
      <c r="G2" s="312">
        <v>0.7445</v>
      </c>
      <c r="H2" s="313">
        <f>0.9*4.05</f>
        <v>3.645</v>
      </c>
      <c r="I2" s="313">
        <f>0.9*4.05</f>
        <v>3.645</v>
      </c>
    </row>
    <row r="3" spans="1:9" ht="25.5" customHeight="1">
      <c r="A3" s="309" t="s">
        <v>136</v>
      </c>
      <c r="B3" s="309" t="s">
        <v>207</v>
      </c>
      <c r="C3" s="310" t="s">
        <v>208</v>
      </c>
      <c r="D3" s="311" t="s">
        <v>143</v>
      </c>
      <c r="E3" s="311">
        <f t="shared" si="0"/>
        <v>3.46005</v>
      </c>
      <c r="F3" s="311">
        <f t="shared" si="1"/>
        <v>3.46005</v>
      </c>
      <c r="G3" s="312">
        <v>0.4125</v>
      </c>
      <c r="H3" s="313">
        <f>0.9*9.32</f>
        <v>8.388</v>
      </c>
      <c r="I3" s="313">
        <f>0.9*9.32</f>
        <v>8.388</v>
      </c>
    </row>
    <row r="4" spans="1:9" ht="24.75" customHeight="1">
      <c r="A4" s="309" t="s">
        <v>136</v>
      </c>
      <c r="B4" s="309" t="s">
        <v>209</v>
      </c>
      <c r="C4" s="310" t="s">
        <v>210</v>
      </c>
      <c r="D4" s="311" t="s">
        <v>211</v>
      </c>
      <c r="E4" s="311">
        <f t="shared" si="0"/>
        <v>1.0129860000000002</v>
      </c>
      <c r="F4" s="311">
        <f t="shared" si="1"/>
        <v>1.0129860000000002</v>
      </c>
      <c r="G4" s="312">
        <v>0.111</v>
      </c>
      <c r="H4" s="313">
        <f>0.9*10.14</f>
        <v>9.126000000000001</v>
      </c>
      <c r="I4" s="313">
        <f>0.9*10.14</f>
        <v>9.126000000000001</v>
      </c>
    </row>
    <row r="5" spans="1:9" ht="48.75" customHeight="1">
      <c r="A5" s="309" t="s">
        <v>137</v>
      </c>
      <c r="B5" s="309" t="s">
        <v>212</v>
      </c>
      <c r="C5" s="310" t="s">
        <v>213</v>
      </c>
      <c r="D5" s="311" t="s">
        <v>140</v>
      </c>
      <c r="E5" s="311">
        <f t="shared" si="0"/>
        <v>5.784886800000001</v>
      </c>
      <c r="F5" s="311">
        <f t="shared" si="1"/>
        <v>6.419813400000001</v>
      </c>
      <c r="G5" s="312">
        <v>0.3563</v>
      </c>
      <c r="H5" s="313">
        <f>0.9*18.04</f>
        <v>16.236</v>
      </c>
      <c r="I5" s="313">
        <f>0.9*20.02</f>
        <v>18.018</v>
      </c>
    </row>
    <row r="6" spans="1:9" ht="52.5" customHeight="1">
      <c r="A6" s="309" t="s">
        <v>137</v>
      </c>
      <c r="B6" s="309" t="s">
        <v>214</v>
      </c>
      <c r="C6" s="310" t="s">
        <v>215</v>
      </c>
      <c r="D6" s="311" t="s">
        <v>140</v>
      </c>
      <c r="E6" s="311">
        <f t="shared" si="0"/>
        <v>13.748400000000002</v>
      </c>
      <c r="F6" s="311">
        <f t="shared" si="1"/>
        <v>15.3579375</v>
      </c>
      <c r="G6" s="312">
        <v>0.7125</v>
      </c>
      <c r="H6" s="313">
        <f>0.9*21.44</f>
        <v>19.296000000000003</v>
      </c>
      <c r="I6" s="313">
        <f>0.9*23.95</f>
        <v>21.555</v>
      </c>
    </row>
    <row r="7" spans="1:9" ht="63.75" customHeight="1">
      <c r="A7" s="309" t="s">
        <v>137</v>
      </c>
      <c r="B7" s="309" t="s">
        <v>216</v>
      </c>
      <c r="C7" s="310" t="s">
        <v>217</v>
      </c>
      <c r="D7" s="311" t="s">
        <v>142</v>
      </c>
      <c r="E7" s="311">
        <f t="shared" si="0"/>
        <v>0.0832923</v>
      </c>
      <c r="F7" s="311">
        <f t="shared" si="1"/>
        <v>0.0921375</v>
      </c>
      <c r="G7" s="312">
        <v>0.0039</v>
      </c>
      <c r="H7" s="313">
        <f>0.9*23.73</f>
        <v>21.357</v>
      </c>
      <c r="I7" s="313">
        <f>0.9*26.25</f>
        <v>23.625</v>
      </c>
    </row>
    <row r="8" ht="12.75">
      <c r="A8" s="314" t="s">
        <v>219</v>
      </c>
    </row>
    <row r="12" spans="1:9" ht="45.75" customHeight="1">
      <c r="A12" s="302" t="s">
        <v>225</v>
      </c>
      <c r="B12" s="303"/>
      <c r="C12" s="303"/>
      <c r="D12" s="304"/>
      <c r="E12" s="305">
        <f>ROUND(SUM(E13:E19),2)</f>
        <v>43.82</v>
      </c>
      <c r="F12" s="305">
        <f>ROUND(SUM(F13:F19),2)</f>
        <v>46.99</v>
      </c>
      <c r="G12" s="306"/>
      <c r="H12" s="307">
        <f>E12</f>
        <v>43.82</v>
      </c>
      <c r="I12" s="308">
        <f>F12</f>
        <v>46.99</v>
      </c>
    </row>
    <row r="13" spans="1:9" ht="33.75">
      <c r="A13" s="309" t="s">
        <v>136</v>
      </c>
      <c r="B13" s="309" t="s">
        <v>221</v>
      </c>
      <c r="C13" s="310" t="s">
        <v>222</v>
      </c>
      <c r="D13" s="311" t="s">
        <v>139</v>
      </c>
      <c r="E13" s="311">
        <f>G13*H13</f>
        <v>13.57398</v>
      </c>
      <c r="F13" s="311">
        <f>G13*I13</f>
        <v>13.57398</v>
      </c>
      <c r="G13" s="312">
        <v>27.93</v>
      </c>
      <c r="H13" s="313">
        <f>0.9*0.54</f>
        <v>0.48600000000000004</v>
      </c>
      <c r="I13" s="313">
        <f>0.9*0.54</f>
        <v>0.48600000000000004</v>
      </c>
    </row>
    <row r="14" spans="1:9" ht="56.25">
      <c r="A14" s="309" t="s">
        <v>137</v>
      </c>
      <c r="B14" s="309" t="s">
        <v>223</v>
      </c>
      <c r="C14" s="310" t="s">
        <v>224</v>
      </c>
      <c r="D14" s="311" t="s">
        <v>72</v>
      </c>
      <c r="E14" s="311">
        <f>G14*H14</f>
        <v>3.2771250000000003</v>
      </c>
      <c r="F14" s="311">
        <f>G14*I14</f>
        <v>3.3754500000000003</v>
      </c>
      <c r="G14" s="312">
        <v>0.0125</v>
      </c>
      <c r="H14" s="313">
        <f>0.9*291.3</f>
        <v>262.17</v>
      </c>
      <c r="I14" s="313">
        <f>0.9*300.04</f>
        <v>270.036</v>
      </c>
    </row>
    <row r="15" spans="1:9" ht="22.5">
      <c r="A15" s="309" t="s">
        <v>137</v>
      </c>
      <c r="B15" s="309" t="s">
        <v>144</v>
      </c>
      <c r="C15" s="310" t="s">
        <v>145</v>
      </c>
      <c r="D15" s="311" t="s">
        <v>140</v>
      </c>
      <c r="E15" s="311">
        <f>G15*H15</f>
        <v>19.413</v>
      </c>
      <c r="F15" s="311">
        <f>G15*I15</f>
        <v>21.681</v>
      </c>
      <c r="G15" s="312">
        <v>1</v>
      </c>
      <c r="H15" s="313">
        <f>0.9*21.57</f>
        <v>19.413</v>
      </c>
      <c r="I15" s="313">
        <f>0.9*24.09</f>
        <v>21.681</v>
      </c>
    </row>
    <row r="16" spans="1:9" ht="22.5">
      <c r="A16" s="309" t="s">
        <v>137</v>
      </c>
      <c r="B16" s="309" t="s">
        <v>138</v>
      </c>
      <c r="C16" s="310" t="s">
        <v>141</v>
      </c>
      <c r="D16" s="311" t="s">
        <v>140</v>
      </c>
      <c r="E16" s="311">
        <f>G16*H16</f>
        <v>7.5600000000000005</v>
      </c>
      <c r="F16" s="311">
        <f>G16*I16</f>
        <v>8.360999999999999</v>
      </c>
      <c r="G16" s="312">
        <v>0.5</v>
      </c>
      <c r="H16" s="313">
        <f>0.9*16.8</f>
        <v>15.120000000000001</v>
      </c>
      <c r="I16" s="313">
        <f>0.9*18.58</f>
        <v>16.721999999999998</v>
      </c>
    </row>
    <row r="17" spans="1:9" ht="12.75">
      <c r="A17" s="309"/>
      <c r="B17" s="309"/>
      <c r="C17" s="310"/>
      <c r="D17" s="311"/>
      <c r="E17" s="311"/>
      <c r="F17" s="311"/>
      <c r="G17" s="312"/>
      <c r="H17" s="313"/>
      <c r="I17" s="313"/>
    </row>
    <row r="18" spans="1:9" ht="12.75">
      <c r="A18" s="309"/>
      <c r="B18" s="309"/>
      <c r="C18" s="310"/>
      <c r="D18" s="311"/>
      <c r="E18" s="311"/>
      <c r="F18" s="311"/>
      <c r="G18" s="312"/>
      <c r="H18" s="313"/>
      <c r="I18" s="313"/>
    </row>
    <row r="19" spans="1:9" ht="12.75">
      <c r="A19" s="309"/>
      <c r="B19" s="309"/>
      <c r="C19" s="310"/>
      <c r="D19" s="311"/>
      <c r="E19" s="311"/>
      <c r="F19" s="311"/>
      <c r="G19" s="312"/>
      <c r="H19" s="313"/>
      <c r="I19" s="313"/>
    </row>
    <row r="20" ht="12.75">
      <c r="A20" s="314" t="s">
        <v>220</v>
      </c>
    </row>
    <row r="23" spans="1:9" ht="20.25" customHeight="1">
      <c r="A23" s="315" t="s">
        <v>246</v>
      </c>
      <c r="B23" s="316"/>
      <c r="C23" s="316"/>
      <c r="D23" s="317"/>
      <c r="E23" s="305">
        <f>ROUND(SUM(E24:E30),2)</f>
        <v>8.25</v>
      </c>
      <c r="F23" s="305">
        <f>ROUND(SUM(F24:F30),2)</f>
        <v>8.66</v>
      </c>
      <c r="G23" s="306"/>
      <c r="H23" s="307">
        <f>E23</f>
        <v>8.25</v>
      </c>
      <c r="I23" s="308">
        <f>F23</f>
        <v>8.66</v>
      </c>
    </row>
    <row r="24" spans="1:9" ht="22.5" customHeight="1">
      <c r="A24" s="309" t="s">
        <v>136</v>
      </c>
      <c r="B24" s="309" t="s">
        <v>234</v>
      </c>
      <c r="C24" s="318" t="s">
        <v>235</v>
      </c>
      <c r="D24" s="311" t="s">
        <v>244</v>
      </c>
      <c r="E24" s="311">
        <f aca="true" t="shared" si="2" ref="E24:E29">G24*H24</f>
        <v>4</v>
      </c>
      <c r="F24" s="311">
        <f aca="true" t="shared" si="3" ref="F24:F29">G24*I24</f>
        <v>4</v>
      </c>
      <c r="G24" s="312">
        <v>1</v>
      </c>
      <c r="H24" s="313">
        <v>4</v>
      </c>
      <c r="I24" s="313">
        <v>4</v>
      </c>
    </row>
    <row r="25" spans="1:9" ht="12.75">
      <c r="A25" s="309" t="s">
        <v>136</v>
      </c>
      <c r="B25" s="309" t="s">
        <v>236</v>
      </c>
      <c r="C25" s="318" t="s">
        <v>237</v>
      </c>
      <c r="D25" s="311" t="s">
        <v>211</v>
      </c>
      <c r="E25" s="311">
        <f t="shared" si="2"/>
        <v>0.071</v>
      </c>
      <c r="F25" s="311">
        <f t="shared" si="3"/>
        <v>0.071</v>
      </c>
      <c r="G25" s="312">
        <v>0.05</v>
      </c>
      <c r="H25" s="313">
        <v>1.42</v>
      </c>
      <c r="I25" s="313">
        <v>1.42</v>
      </c>
    </row>
    <row r="26" spans="1:9" ht="22.5" customHeight="1">
      <c r="A26" s="309" t="s">
        <v>136</v>
      </c>
      <c r="B26" s="309" t="s">
        <v>238</v>
      </c>
      <c r="C26" s="318" t="s">
        <v>239</v>
      </c>
      <c r="D26" s="311" t="s">
        <v>211</v>
      </c>
      <c r="E26" s="311">
        <f t="shared" si="2"/>
        <v>0.00012</v>
      </c>
      <c r="F26" s="311">
        <f t="shared" si="3"/>
        <v>0.00012</v>
      </c>
      <c r="G26" s="312">
        <v>0.002</v>
      </c>
      <c r="H26" s="313">
        <v>0.06</v>
      </c>
      <c r="I26" s="313">
        <v>0.06</v>
      </c>
    </row>
    <row r="27" spans="1:9" ht="22.5" customHeight="1">
      <c r="A27" s="309" t="s">
        <v>136</v>
      </c>
      <c r="B27" s="309" t="s">
        <v>240</v>
      </c>
      <c r="C27" s="318" t="s">
        <v>241</v>
      </c>
      <c r="D27" s="311" t="s">
        <v>211</v>
      </c>
      <c r="E27" s="311">
        <f t="shared" si="2"/>
        <v>0.41100000000000003</v>
      </c>
      <c r="F27" s="311">
        <f t="shared" si="3"/>
        <v>0.41100000000000003</v>
      </c>
      <c r="G27" s="312">
        <v>0.3</v>
      </c>
      <c r="H27" s="313">
        <v>1.37</v>
      </c>
      <c r="I27" s="313">
        <v>1.37</v>
      </c>
    </row>
    <row r="28" spans="1:9" ht="22.5" customHeight="1">
      <c r="A28" s="309" t="s">
        <v>137</v>
      </c>
      <c r="B28" s="309" t="s">
        <v>138</v>
      </c>
      <c r="C28" s="318" t="s">
        <v>141</v>
      </c>
      <c r="D28" s="311" t="s">
        <v>140</v>
      </c>
      <c r="E28" s="311">
        <f t="shared" si="2"/>
        <v>1.6800000000000002</v>
      </c>
      <c r="F28" s="311">
        <f t="shared" si="3"/>
        <v>1.8579999999999999</v>
      </c>
      <c r="G28" s="312">
        <v>0.1</v>
      </c>
      <c r="H28" s="313">
        <v>16.8</v>
      </c>
      <c r="I28" s="313">
        <v>18.58</v>
      </c>
    </row>
    <row r="29" spans="1:9" ht="22.5" customHeight="1">
      <c r="A29" s="309" t="s">
        <v>137</v>
      </c>
      <c r="B29" s="309" t="s">
        <v>242</v>
      </c>
      <c r="C29" s="318" t="s">
        <v>243</v>
      </c>
      <c r="D29" s="311" t="s">
        <v>140</v>
      </c>
      <c r="E29" s="311">
        <f t="shared" si="2"/>
        <v>2.0829999999999997</v>
      </c>
      <c r="F29" s="311">
        <f t="shared" si="3"/>
        <v>2.324</v>
      </c>
      <c r="G29" s="312">
        <v>0.1</v>
      </c>
      <c r="H29" s="313">
        <v>20.83</v>
      </c>
      <c r="I29" s="313">
        <v>23.24</v>
      </c>
    </row>
    <row r="30" spans="1:9" ht="12.75">
      <c r="A30" s="309"/>
      <c r="B30" s="309"/>
      <c r="C30" s="310"/>
      <c r="D30" s="311"/>
      <c r="E30" s="311"/>
      <c r="F30" s="311"/>
      <c r="G30" s="312"/>
      <c r="H30" s="313"/>
      <c r="I30" s="313"/>
    </row>
    <row r="31" ht="12.75">
      <c r="A31" s="314" t="s">
        <v>245</v>
      </c>
    </row>
  </sheetData>
  <sheetProtection password="C637" sheet="1" selectLockedCells="1"/>
  <mergeCells count="3">
    <mergeCell ref="A1:D1"/>
    <mergeCell ref="A12:D12"/>
    <mergeCell ref="A23:D23"/>
  </mergeCells>
  <printOptions/>
  <pageMargins left="0.5118110236220472" right="0.5118110236220472" top="0.7874015748031497" bottom="0.7874015748031497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2019-06-12T14:15:02Z</cp:lastPrinted>
  <dcterms:created xsi:type="dcterms:W3CDTF">2006-10-10T19:21:35Z</dcterms:created>
  <dcterms:modified xsi:type="dcterms:W3CDTF">2019-06-12T14:20:38Z</dcterms:modified>
  <cp:category/>
  <cp:version/>
  <cp:contentType/>
  <cp:contentStatus/>
</cp:coreProperties>
</file>